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3.xml" ContentType="application/vnd.ms-excel.person+xml"/>
  <Override PartName="/xl/persons/person.xml" ContentType="application/vnd.ms-excel.person+xml"/>
  <Override PartName="/xl/persons/person2.xml" ContentType="application/vnd.ms-excel.person+xml"/>
  <Override PartName="/xl/persons/person7.xml" ContentType="application/vnd.ms-excel.person+xml"/>
  <Override PartName="/xl/persons/person1.xml" ContentType="application/vnd.ms-excel.person+xml"/>
  <Override PartName="/xl/persons/person4.xml" ContentType="application/vnd.ms-excel.person+xml"/>
  <Override PartName="/xl/persons/person5.xml" ContentType="application/vnd.ms-excel.person+xml"/>
  <Override PartName="/xl/persons/person0.xml" ContentType="application/vnd.ms-excel.person+xml"/>
  <Override PartName="/xl/persons/person8.xml" ContentType="application/vnd.ms-excel.person+xml"/>
  <Override PartName="/xl/persons/person6.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ufpiedubr-my.sharepoint.com/personal/daf_gc_ufpi_edu_br/Documents/CONTRATOS VIGENTES/2020/CONTRATO N° 18-2020 - CET SEG SEGURANÇA PICOS/CUSTOS NÃO RENOVÁVEIS/8º ADITIVO CT 18 2020/"/>
    </mc:Choice>
  </mc:AlternateContent>
  <xr:revisionPtr revIDLastSave="209" documentId="11_0277DBD88A95D4AF852D131655E12C37602A4444" xr6:coauthVersionLast="47" xr6:coauthVersionMax="47" xr10:uidLastSave="{1619F761-7233-4C62-B923-D6062C02762D}"/>
  <bookViews>
    <workbookView xWindow="-120" yWindow="-120" windowWidth="29040" windowHeight="15840" tabRatio="936" firstSheet="2" activeTab="5" xr2:uid="{00000000-000D-0000-FFFF-FFFF00000000}"/>
  </bookViews>
  <sheets>
    <sheet name="Uniformes PICOS" sheetId="9" state="hidden" r:id="rId1"/>
    <sheet name="Equipamentos-PICOS" sheetId="8" state="hidden" r:id="rId2"/>
    <sheet name="UNIFORMAES" sheetId="76" r:id="rId3"/>
    <sheet name="EQUIPAMENTOS" sheetId="75" r:id="rId4"/>
    <sheet name="12x36-24H PICOS SAL PS 2023 " sheetId="81" r:id="rId5"/>
    <sheet name="12x36-24H PICOS 2023 SAL PS VA" sheetId="82" r:id="rId6"/>
    <sheet name="RESUMO PICOS 2023" sheetId="84" r:id="rId7"/>
    <sheet name="Custo por trabalhador" sheetId="2" state="hidden" r:id="rId8"/>
  </sheets>
  <calcPr calcId="191029"/>
</workbook>
</file>

<file path=xl/calcChain.xml><?xml version="1.0" encoding="utf-8"?>
<calcChain xmlns="http://schemas.openxmlformats.org/spreadsheetml/2006/main">
  <c r="J16" i="84" l="1"/>
  <c r="H19" i="84"/>
  <c r="E11" i="84"/>
  <c r="E4" i="84"/>
  <c r="D74" i="82"/>
  <c r="D37" i="82"/>
  <c r="D81" i="82" s="1"/>
  <c r="E81" i="82" s="1"/>
  <c r="N16" i="84"/>
  <c r="O7" i="84"/>
  <c r="D151" i="82"/>
  <c r="C152" i="82" s="1"/>
  <c r="E135" i="82"/>
  <c r="E134" i="82"/>
  <c r="E133" i="82"/>
  <c r="E132" i="82"/>
  <c r="E131" i="82"/>
  <c r="E130" i="82"/>
  <c r="E136" i="82" s="1"/>
  <c r="E160" i="82" s="1"/>
  <c r="E119" i="82"/>
  <c r="E124" i="82" s="1"/>
  <c r="D113" i="82"/>
  <c r="D96" i="82"/>
  <c r="E74" i="82"/>
  <c r="D73" i="82"/>
  <c r="E73" i="82" s="1"/>
  <c r="E72" i="82"/>
  <c r="D57" i="82"/>
  <c r="D63" i="82" s="1"/>
  <c r="D50" i="82"/>
  <c r="D49" i="82"/>
  <c r="E42" i="82"/>
  <c r="E41" i="82"/>
  <c r="D38" i="82"/>
  <c r="D40" i="82" s="1"/>
  <c r="E40" i="82" s="1"/>
  <c r="E37" i="82"/>
  <c r="E71" i="82" s="1"/>
  <c r="C152" i="81"/>
  <c r="D151" i="81"/>
  <c r="E135" i="81"/>
  <c r="E134" i="81"/>
  <c r="E133" i="81"/>
  <c r="E132" i="81"/>
  <c r="E131" i="81"/>
  <c r="E136" i="81" s="1"/>
  <c r="E160" i="81" s="1"/>
  <c r="E130" i="81"/>
  <c r="E124" i="81"/>
  <c r="E119" i="81"/>
  <c r="D113" i="81"/>
  <c r="D99" i="81"/>
  <c r="D96" i="81"/>
  <c r="D101" i="81" s="1"/>
  <c r="E74" i="81"/>
  <c r="E72" i="81"/>
  <c r="D63" i="81"/>
  <c r="D57" i="81"/>
  <c r="D49" i="81"/>
  <c r="D50" i="81" s="1"/>
  <c r="E42" i="81"/>
  <c r="E41" i="81"/>
  <c r="C532" i="2"/>
  <c r="C533" i="2" s="1"/>
  <c r="C524" i="2"/>
  <c r="C523" i="2"/>
  <c r="C522" i="2"/>
  <c r="C521" i="2"/>
  <c r="C520" i="2"/>
  <c r="C519" i="2"/>
  <c r="C508" i="2"/>
  <c r="B508" i="2"/>
  <c r="D508" i="2" s="1"/>
  <c r="D507" i="2"/>
  <c r="C507" i="2"/>
  <c r="B507" i="2"/>
  <c r="C506" i="2"/>
  <c r="D506" i="2" s="1"/>
  <c r="B506" i="2"/>
  <c r="C505" i="2"/>
  <c r="B505" i="2"/>
  <c r="D505" i="2" s="1"/>
  <c r="D543" i="2" s="1"/>
  <c r="C504" i="2"/>
  <c r="B504" i="2"/>
  <c r="D504" i="2" s="1"/>
  <c r="C543" i="2" s="1"/>
  <c r="D503" i="2"/>
  <c r="B543" i="2" s="1"/>
  <c r="C503" i="2"/>
  <c r="B503" i="2"/>
  <c r="C430" i="2"/>
  <c r="C431" i="2" s="1"/>
  <c r="C409" i="2"/>
  <c r="C410" i="2" s="1"/>
  <c r="C411" i="2" s="1"/>
  <c r="C412" i="2" s="1"/>
  <c r="C413" i="2" s="1"/>
  <c r="B397" i="2"/>
  <c r="D396" i="2"/>
  <c r="C395" i="2"/>
  <c r="B393" i="2"/>
  <c r="C390" i="2"/>
  <c r="B390" i="2"/>
  <c r="B389" i="2"/>
  <c r="G384" i="2"/>
  <c r="D400" i="2" s="1"/>
  <c r="E384" i="2"/>
  <c r="C400" i="2" s="1"/>
  <c r="F383" i="2"/>
  <c r="G383" i="2" s="1"/>
  <c r="D399" i="2" s="1"/>
  <c r="E383" i="2"/>
  <c r="C399" i="2" s="1"/>
  <c r="G382" i="2"/>
  <c r="D398" i="2" s="1"/>
  <c r="F382" i="2"/>
  <c r="E382" i="2"/>
  <c r="B398" i="2" s="1"/>
  <c r="G381" i="2"/>
  <c r="D397" i="2" s="1"/>
  <c r="E381" i="2"/>
  <c r="C397" i="2" s="1"/>
  <c r="G380" i="2"/>
  <c r="E380" i="2"/>
  <c r="C396" i="2" s="1"/>
  <c r="G379" i="2"/>
  <c r="D395" i="2" s="1"/>
  <c r="E379" i="2"/>
  <c r="B395" i="2" s="1"/>
  <c r="F378" i="2"/>
  <c r="G378" i="2" s="1"/>
  <c r="D394" i="2" s="1"/>
  <c r="E378" i="2"/>
  <c r="B394" i="2" s="1"/>
  <c r="G377" i="2"/>
  <c r="D393" i="2" s="1"/>
  <c r="E377" i="2"/>
  <c r="C393" i="2" s="1"/>
  <c r="F376" i="2"/>
  <c r="G376" i="2" s="1"/>
  <c r="D392" i="2" s="1"/>
  <c r="E376" i="2"/>
  <c r="C392" i="2" s="1"/>
  <c r="F375" i="2"/>
  <c r="G375" i="2" s="1"/>
  <c r="D391" i="2" s="1"/>
  <c r="E375" i="2"/>
  <c r="C391" i="2" s="1"/>
  <c r="G374" i="2"/>
  <c r="D390" i="2" s="1"/>
  <c r="E374" i="2"/>
  <c r="F373" i="2"/>
  <c r="G373" i="2" s="1"/>
  <c r="D389" i="2" s="1"/>
  <c r="E373" i="2"/>
  <c r="C389" i="2" s="1"/>
  <c r="C353" i="2"/>
  <c r="C352" i="2"/>
  <c r="C351" i="2"/>
  <c r="C350" i="2"/>
  <c r="C349" i="2"/>
  <c r="C348" i="2"/>
  <c r="C332" i="2"/>
  <c r="C331" i="2"/>
  <c r="C330" i="2"/>
  <c r="C329" i="2"/>
  <c r="C328" i="2"/>
  <c r="C327" i="2"/>
  <c r="C302" i="2"/>
  <c r="C301" i="2"/>
  <c r="C300" i="2"/>
  <c r="C299" i="2"/>
  <c r="C298" i="2"/>
  <c r="C297" i="2"/>
  <c r="C282" i="2"/>
  <c r="C283" i="2" s="1"/>
  <c r="C284" i="2" s="1"/>
  <c r="C281" i="2"/>
  <c r="C280" i="2"/>
  <c r="B272" i="2"/>
  <c r="E249" i="2"/>
  <c r="D249" i="2"/>
  <c r="E248" i="2"/>
  <c r="D248" i="2"/>
  <c r="E247" i="2"/>
  <c r="D247" i="2"/>
  <c r="E246" i="2"/>
  <c r="D246" i="2"/>
  <c r="E245" i="2"/>
  <c r="D245" i="2"/>
  <c r="E244" i="2"/>
  <c r="D244" i="2"/>
  <c r="B218" i="2"/>
  <c r="B217" i="2"/>
  <c r="B216" i="2"/>
  <c r="B215" i="2"/>
  <c r="B214" i="2"/>
  <c r="B213" i="2"/>
  <c r="D213" i="2" s="1"/>
  <c r="C244" i="2" s="1"/>
  <c r="B209" i="2"/>
  <c r="B208" i="2"/>
  <c r="B207" i="2"/>
  <c r="B206" i="2"/>
  <c r="C205" i="2"/>
  <c r="C206" i="2" s="1"/>
  <c r="C207" i="2" s="1"/>
  <c r="B205" i="2"/>
  <c r="D205" i="2" s="1"/>
  <c r="C214" i="2" s="1"/>
  <c r="D214" i="2" s="1"/>
  <c r="C245" i="2" s="1"/>
  <c r="D204" i="2"/>
  <c r="C213" i="2" s="1"/>
  <c r="B204" i="2"/>
  <c r="C200" i="2"/>
  <c r="C199" i="2"/>
  <c r="C198" i="2"/>
  <c r="C197" i="2"/>
  <c r="C196" i="2"/>
  <c r="B196" i="2"/>
  <c r="B197" i="2" s="1"/>
  <c r="C195" i="2"/>
  <c r="D195" i="2" s="1"/>
  <c r="B180" i="2"/>
  <c r="E180" i="2" s="1"/>
  <c r="C189" i="2" s="1"/>
  <c r="B179" i="2"/>
  <c r="E179" i="2" s="1"/>
  <c r="C188" i="2" s="1"/>
  <c r="B178" i="2"/>
  <c r="E178" i="2" s="1"/>
  <c r="C187" i="2" s="1"/>
  <c r="B168" i="2"/>
  <c r="B169" i="2" s="1"/>
  <c r="C167" i="2"/>
  <c r="C168" i="2" s="1"/>
  <c r="C169" i="2" s="1"/>
  <c r="C170" i="2" s="1"/>
  <c r="C171" i="2" s="1"/>
  <c r="B167" i="2"/>
  <c r="E167" i="2" s="1"/>
  <c r="B185" i="2" s="1"/>
  <c r="E166" i="2"/>
  <c r="B184" i="2" s="1"/>
  <c r="C148" i="2"/>
  <c r="C147" i="2"/>
  <c r="C146" i="2"/>
  <c r="C145" i="2"/>
  <c r="C144" i="2"/>
  <c r="C143" i="2"/>
  <c r="B124" i="2"/>
  <c r="C137" i="2" s="1"/>
  <c r="D106" i="2"/>
  <c r="C106" i="2"/>
  <c r="D105" i="2"/>
  <c r="C105" i="2"/>
  <c r="D104" i="2"/>
  <c r="C104" i="2"/>
  <c r="D103" i="2"/>
  <c r="C103" i="2"/>
  <c r="D102" i="2"/>
  <c r="C102" i="2"/>
  <c r="D101" i="2"/>
  <c r="C101" i="2"/>
  <c r="C97" i="2"/>
  <c r="C96" i="2"/>
  <c r="C95" i="2"/>
  <c r="C94" i="2"/>
  <c r="C93" i="2"/>
  <c r="C92" i="2"/>
  <c r="C88" i="2"/>
  <c r="C87" i="2"/>
  <c r="C86" i="2"/>
  <c r="C85" i="2"/>
  <c r="C84" i="2"/>
  <c r="C83" i="2"/>
  <c r="F75" i="2"/>
  <c r="B75" i="2"/>
  <c r="F74" i="2"/>
  <c r="B74" i="2"/>
  <c r="F73" i="2"/>
  <c r="B73" i="2"/>
  <c r="F72" i="2"/>
  <c r="F71" i="2"/>
  <c r="F70" i="2"/>
  <c r="C46" i="2"/>
  <c r="C45" i="2"/>
  <c r="C42" i="2"/>
  <c r="C41" i="2"/>
  <c r="C33" i="2"/>
  <c r="D33" i="2" s="1"/>
  <c r="D75" i="2" s="1"/>
  <c r="D32" i="2"/>
  <c r="D74" i="2" s="1"/>
  <c r="C29" i="2"/>
  <c r="C30" i="2" s="1"/>
  <c r="C31" i="2" s="1"/>
  <c r="D31" i="2" s="1"/>
  <c r="D73" i="2" s="1"/>
  <c r="D21" i="2"/>
  <c r="C75" i="2" s="1"/>
  <c r="B21" i="2"/>
  <c r="B12" i="2"/>
  <c r="B177" i="2" s="1"/>
  <c r="E177" i="2" s="1"/>
  <c r="C186" i="2" s="1"/>
  <c r="E31" i="75"/>
  <c r="F31" i="75" s="1"/>
  <c r="E30" i="75"/>
  <c r="F30" i="75" s="1"/>
  <c r="E29" i="75"/>
  <c r="F29" i="75" s="1"/>
  <c r="E28" i="75"/>
  <c r="F28" i="75" s="1"/>
  <c r="E27" i="75"/>
  <c r="F27" i="75" s="1"/>
  <c r="E26" i="75"/>
  <c r="F26" i="75" s="1"/>
  <c r="E25" i="75"/>
  <c r="F25" i="75" s="1"/>
  <c r="E24" i="75"/>
  <c r="F24" i="75" s="1"/>
  <c r="E23" i="75"/>
  <c r="F23" i="75" s="1"/>
  <c r="E22" i="75"/>
  <c r="F22" i="75" s="1"/>
  <c r="F32" i="75" s="1"/>
  <c r="F33" i="75" s="1"/>
  <c r="E17" i="75"/>
  <c r="F17" i="75" s="1"/>
  <c r="F18" i="75" s="1"/>
  <c r="F19" i="75" s="1"/>
  <c r="F32" i="76"/>
  <c r="E32" i="76"/>
  <c r="E31" i="76"/>
  <c r="F31" i="76" s="1"/>
  <c r="F34" i="76" s="1"/>
  <c r="E24" i="76"/>
  <c r="F24" i="76" s="1"/>
  <c r="E23" i="76"/>
  <c r="F23" i="76" s="1"/>
  <c r="E22" i="76"/>
  <c r="F22" i="76" s="1"/>
  <c r="E21" i="76"/>
  <c r="F21" i="76" s="1"/>
  <c r="F20" i="76"/>
  <c r="E20" i="76"/>
  <c r="A20" i="76"/>
  <c r="A21" i="76" s="1"/>
  <c r="E19" i="76"/>
  <c r="F19" i="76" s="1"/>
  <c r="A19" i="76"/>
  <c r="F18" i="76"/>
  <c r="E18" i="76"/>
  <c r="E17" i="76"/>
  <c r="F17" i="76" s="1"/>
  <c r="F16" i="76"/>
  <c r="E16" i="76"/>
  <c r="E15" i="76"/>
  <c r="F15" i="76" s="1"/>
  <c r="E31" i="8"/>
  <c r="F31" i="8" s="1"/>
  <c r="F30" i="8"/>
  <c r="E30" i="8"/>
  <c r="E29" i="8"/>
  <c r="F29" i="8" s="1"/>
  <c r="F28" i="8"/>
  <c r="E28" i="8"/>
  <c r="E27" i="8"/>
  <c r="F27" i="8" s="1"/>
  <c r="F26" i="8"/>
  <c r="E26" i="8"/>
  <c r="F25" i="8"/>
  <c r="E25" i="8"/>
  <c r="F24" i="8"/>
  <c r="E24" i="8"/>
  <c r="F23" i="8"/>
  <c r="E23" i="8"/>
  <c r="F22" i="8"/>
  <c r="E22" i="8"/>
  <c r="F17" i="8"/>
  <c r="F18" i="8" s="1"/>
  <c r="F19" i="8" s="1"/>
  <c r="E17" i="8"/>
  <c r="E32" i="9"/>
  <c r="F32" i="9" s="1"/>
  <c r="E31" i="9"/>
  <c r="F31" i="9" s="1"/>
  <c r="F34" i="9" s="1"/>
  <c r="F24" i="9"/>
  <c r="E24" i="9"/>
  <c r="E23" i="9"/>
  <c r="F23" i="9" s="1"/>
  <c r="F22" i="9"/>
  <c r="E22" i="9"/>
  <c r="E21" i="9"/>
  <c r="F21" i="9" s="1"/>
  <c r="E20" i="9"/>
  <c r="F20" i="9" s="1"/>
  <c r="F19" i="9"/>
  <c r="E19" i="9"/>
  <c r="A19" i="9"/>
  <c r="A20" i="9" s="1"/>
  <c r="A21" i="9" s="1"/>
  <c r="E18" i="9"/>
  <c r="F18" i="9" s="1"/>
  <c r="E17" i="9"/>
  <c r="F17" i="9" s="1"/>
  <c r="E16" i="9"/>
  <c r="F16" i="9" s="1"/>
  <c r="E15" i="9"/>
  <c r="F15" i="9" s="1"/>
  <c r="E38" i="82" l="1"/>
  <c r="K10" i="84"/>
  <c r="E77" i="82"/>
  <c r="E89" i="82" s="1"/>
  <c r="F71" i="82"/>
  <c r="D99" i="82"/>
  <c r="D101" i="82" s="1"/>
  <c r="G101" i="82" s="1"/>
  <c r="D39" i="82"/>
  <c r="E39" i="82" s="1"/>
  <c r="E43" i="82" s="1"/>
  <c r="D82" i="82"/>
  <c r="E82" i="82" s="1"/>
  <c r="E83" i="82" s="1"/>
  <c r="E90" i="82" s="1"/>
  <c r="G101" i="81"/>
  <c r="G93" i="81"/>
  <c r="E37" i="81"/>
  <c r="D38" i="81"/>
  <c r="E38" i="81" s="1"/>
  <c r="D73" i="81"/>
  <c r="E73" i="81" s="1"/>
  <c r="F26" i="76"/>
  <c r="F26" i="9"/>
  <c r="F32" i="8"/>
  <c r="F33" i="8" s="1"/>
  <c r="C208" i="2"/>
  <c r="D207" i="2"/>
  <c r="C216" i="2" s="1"/>
  <c r="D216" i="2" s="1"/>
  <c r="C247" i="2" s="1"/>
  <c r="D206" i="2"/>
  <c r="C215" i="2" s="1"/>
  <c r="D215" i="2" s="1"/>
  <c r="C246" i="2" s="1"/>
  <c r="G73" i="2"/>
  <c r="G75" i="2"/>
  <c r="B170" i="2"/>
  <c r="E169" i="2"/>
  <c r="B187" i="2" s="1"/>
  <c r="D187" i="2" s="1"/>
  <c r="B247" i="2" s="1"/>
  <c r="B198" i="2"/>
  <c r="D197" i="2"/>
  <c r="B20" i="2"/>
  <c r="D20" i="2" s="1"/>
  <c r="B28" i="2"/>
  <c r="D28" i="2" s="1"/>
  <c r="D70" i="2" s="1"/>
  <c r="B42" i="2"/>
  <c r="E42" i="2" s="1"/>
  <c r="B51" i="2" s="1"/>
  <c r="D51" i="2" s="1"/>
  <c r="E74" i="2" s="1"/>
  <c r="B71" i="2"/>
  <c r="G71" i="2" s="1"/>
  <c r="C73" i="2"/>
  <c r="B130" i="2"/>
  <c r="C136" i="2"/>
  <c r="B30" i="2"/>
  <c r="D30" i="2" s="1"/>
  <c r="D72" i="2" s="1"/>
  <c r="C74" i="2"/>
  <c r="C135" i="2"/>
  <c r="C139" i="2"/>
  <c r="E168" i="2"/>
  <c r="B186" i="2" s="1"/>
  <c r="D186" i="2" s="1"/>
  <c r="B246" i="2" s="1"/>
  <c r="F246" i="2" s="1"/>
  <c r="D257" i="2" s="1"/>
  <c r="B176" i="2"/>
  <c r="E176" i="2" s="1"/>
  <c r="C185" i="2" s="1"/>
  <c r="D185" i="2" s="1"/>
  <c r="B245" i="2" s="1"/>
  <c r="F245" i="2" s="1"/>
  <c r="D256" i="2" s="1"/>
  <c r="D196" i="2"/>
  <c r="B29" i="2"/>
  <c r="D29" i="2" s="1"/>
  <c r="D71" i="2" s="1"/>
  <c r="B46" i="2"/>
  <c r="E46" i="2" s="1"/>
  <c r="C51" i="2" s="1"/>
  <c r="B72" i="2"/>
  <c r="G72" i="2" s="1"/>
  <c r="C134" i="2"/>
  <c r="C138" i="2"/>
  <c r="D401" i="2"/>
  <c r="B70" i="2"/>
  <c r="G70" i="2" s="1"/>
  <c r="B175" i="2"/>
  <c r="E175" i="2" s="1"/>
  <c r="C184" i="2" s="1"/>
  <c r="D184" i="2" s="1"/>
  <c r="B244" i="2" s="1"/>
  <c r="F244" i="2" s="1"/>
  <c r="D255" i="2" s="1"/>
  <c r="C394" i="2"/>
  <c r="C398" i="2"/>
  <c r="C401" i="2" s="1"/>
  <c r="B392" i="2"/>
  <c r="B396" i="2"/>
  <c r="B400" i="2"/>
  <c r="B391" i="2"/>
  <c r="B401" i="2" s="1"/>
  <c r="B399" i="2"/>
  <c r="D40" i="81" l="1"/>
  <c r="E40" i="81" s="1"/>
  <c r="E156" i="82"/>
  <c r="E100" i="82"/>
  <c r="E95" i="82"/>
  <c r="E98" i="82"/>
  <c r="E99" i="82"/>
  <c r="E97" i="82"/>
  <c r="E96" i="82"/>
  <c r="E48" i="82"/>
  <c r="E47" i="82"/>
  <c r="G93" i="82"/>
  <c r="D39" i="81"/>
  <c r="E39" i="81" s="1"/>
  <c r="E43" i="81" s="1"/>
  <c r="D82" i="81"/>
  <c r="E82" i="81" s="1"/>
  <c r="E71" i="81"/>
  <c r="D81" i="81"/>
  <c r="E81" i="81" s="1"/>
  <c r="C421" i="2"/>
  <c r="C418" i="2"/>
  <c r="C420" i="2"/>
  <c r="C417" i="2"/>
  <c r="B539" i="2"/>
  <c r="B546" i="2" s="1"/>
  <c r="B547" i="2" s="1"/>
  <c r="E408" i="2"/>
  <c r="B101" i="2"/>
  <c r="E101" i="2" s="1"/>
  <c r="B83" i="2"/>
  <c r="D83" i="2" s="1"/>
  <c r="B92" i="2"/>
  <c r="D92" i="2" s="1"/>
  <c r="B45" i="2"/>
  <c r="E45" i="2" s="1"/>
  <c r="C50" i="2" s="1"/>
  <c r="D539" i="2"/>
  <c r="D546" i="2" s="1"/>
  <c r="D547" i="2" s="1"/>
  <c r="B103" i="2"/>
  <c r="E103" i="2" s="1"/>
  <c r="B94" i="2"/>
  <c r="D94" i="2" s="1"/>
  <c r="B85" i="2"/>
  <c r="D85" i="2" s="1"/>
  <c r="F247" i="2"/>
  <c r="D258" i="2" s="1"/>
  <c r="C422" i="2"/>
  <c r="C419" i="2"/>
  <c r="G74" i="2"/>
  <c r="D198" i="2"/>
  <c r="B199" i="2"/>
  <c r="E170" i="2"/>
  <c r="B188" i="2" s="1"/>
  <c r="D188" i="2" s="1"/>
  <c r="B248" i="2" s="1"/>
  <c r="F248" i="2" s="1"/>
  <c r="D259" i="2" s="1"/>
  <c r="B171" i="2"/>
  <c r="E171" i="2" s="1"/>
  <c r="B189" i="2" s="1"/>
  <c r="D189" i="2" s="1"/>
  <c r="B249" i="2" s="1"/>
  <c r="D208" i="2"/>
  <c r="C217" i="2" s="1"/>
  <c r="D217" i="2" s="1"/>
  <c r="C248" i="2" s="1"/>
  <c r="C209" i="2"/>
  <c r="D209" i="2" s="1"/>
  <c r="C218" i="2" s="1"/>
  <c r="D218" i="2" s="1"/>
  <c r="C249" i="2" s="1"/>
  <c r="B41" i="2"/>
  <c r="E41" i="2" s="1"/>
  <c r="B50" i="2" s="1"/>
  <c r="D50" i="2" s="1"/>
  <c r="E71" i="2" s="1"/>
  <c r="C72" i="2"/>
  <c r="C71" i="2"/>
  <c r="C70" i="2"/>
  <c r="B106" i="2"/>
  <c r="E106" i="2" s="1"/>
  <c r="B88" i="2"/>
  <c r="D88" i="2" s="1"/>
  <c r="B97" i="2"/>
  <c r="D97" i="2" s="1"/>
  <c r="C539" i="2"/>
  <c r="C546" i="2" s="1"/>
  <c r="C547" i="2" s="1"/>
  <c r="B102" i="2"/>
  <c r="E102" i="2" s="1"/>
  <c r="B84" i="2"/>
  <c r="D84" i="2" s="1"/>
  <c r="B93" i="2"/>
  <c r="D93" i="2" s="1"/>
  <c r="B104" i="2"/>
  <c r="E104" i="2" s="1"/>
  <c r="B95" i="2"/>
  <c r="D95" i="2" s="1"/>
  <c r="B86" i="2"/>
  <c r="D86" i="2" s="1"/>
  <c r="E101" i="82" l="1"/>
  <c r="E49" i="82"/>
  <c r="E50" i="82" s="1"/>
  <c r="E83" i="81"/>
  <c r="E90" i="81" s="1"/>
  <c r="E98" i="81"/>
  <c r="E47" i="81"/>
  <c r="E156" i="81"/>
  <c r="E100" i="81"/>
  <c r="E95" i="81"/>
  <c r="E99" i="81"/>
  <c r="E97" i="81"/>
  <c r="E96" i="81"/>
  <c r="E48" i="81"/>
  <c r="E77" i="81"/>
  <c r="E89" i="81" s="1"/>
  <c r="F71" i="81"/>
  <c r="B342" i="2"/>
  <c r="B113" i="2"/>
  <c r="C341" i="2"/>
  <c r="C112" i="2"/>
  <c r="B339" i="2"/>
  <c r="E339" i="2" s="1"/>
  <c r="B348" i="2" s="1"/>
  <c r="D348" i="2" s="1"/>
  <c r="D359" i="2" s="1"/>
  <c r="B110" i="2"/>
  <c r="E110" i="2" s="1"/>
  <c r="B344" i="2"/>
  <c r="B115" i="2"/>
  <c r="B200" i="2"/>
  <c r="D200" i="2" s="1"/>
  <c r="D199" i="2"/>
  <c r="D341" i="2"/>
  <c r="D112" i="2"/>
  <c r="D339" i="2"/>
  <c r="D110" i="2"/>
  <c r="D342" i="2"/>
  <c r="D113" i="2"/>
  <c r="B340" i="2"/>
  <c r="E340" i="2" s="1"/>
  <c r="B349" i="2" s="1"/>
  <c r="D349" i="2" s="1"/>
  <c r="D360" i="2" s="1"/>
  <c r="B111" i="2"/>
  <c r="E111" i="2" s="1"/>
  <c r="C342" i="2"/>
  <c r="C113" i="2"/>
  <c r="C340" i="2"/>
  <c r="C111" i="2"/>
  <c r="D340" i="2"/>
  <c r="D111" i="2"/>
  <c r="B341" i="2"/>
  <c r="E341" i="2" s="1"/>
  <c r="B350" i="2" s="1"/>
  <c r="D350" i="2" s="1"/>
  <c r="D361" i="2" s="1"/>
  <c r="B112" i="2"/>
  <c r="E112" i="2" s="1"/>
  <c r="C339" i="2"/>
  <c r="C110" i="2"/>
  <c r="C344" i="2"/>
  <c r="C115" i="2"/>
  <c r="D344" i="2"/>
  <c r="D115" i="2"/>
  <c r="F249" i="2"/>
  <c r="D260" i="2" s="1"/>
  <c r="B105" i="2"/>
  <c r="E105" i="2" s="1"/>
  <c r="B87" i="2"/>
  <c r="D87" i="2" s="1"/>
  <c r="B96" i="2"/>
  <c r="D96" i="2" s="1"/>
  <c r="E158" i="82" l="1"/>
  <c r="E87" i="82"/>
  <c r="E56" i="82"/>
  <c r="E55" i="82"/>
  <c r="E57" i="82"/>
  <c r="E62" i="82"/>
  <c r="E59" i="82"/>
  <c r="E58" i="82"/>
  <c r="E61" i="82"/>
  <c r="E60" i="82"/>
  <c r="E49" i="81"/>
  <c r="E50" i="81" s="1"/>
  <c r="E87" i="81" s="1"/>
  <c r="E101" i="81"/>
  <c r="C343" i="2"/>
  <c r="C114" i="2"/>
  <c r="E344" i="2"/>
  <c r="B353" i="2" s="1"/>
  <c r="D353" i="2" s="1"/>
  <c r="D364" i="2" s="1"/>
  <c r="B343" i="2"/>
  <c r="B114" i="2"/>
  <c r="E113" i="2"/>
  <c r="B255" i="2"/>
  <c r="E255" i="2" s="1"/>
  <c r="B134" i="2"/>
  <c r="D134" i="2" s="1"/>
  <c r="B152" i="2" s="1"/>
  <c r="B143" i="2"/>
  <c r="D143" i="2" s="1"/>
  <c r="D343" i="2"/>
  <c r="D114" i="2"/>
  <c r="B257" i="2"/>
  <c r="E257" i="2" s="1"/>
  <c r="B145" i="2"/>
  <c r="D145" i="2" s="1"/>
  <c r="B136" i="2"/>
  <c r="D136" i="2" s="1"/>
  <c r="B154" i="2" s="1"/>
  <c r="B256" i="2"/>
  <c r="E256" i="2" s="1"/>
  <c r="B144" i="2"/>
  <c r="D144" i="2" s="1"/>
  <c r="B135" i="2"/>
  <c r="D135" i="2" s="1"/>
  <c r="B153" i="2" s="1"/>
  <c r="E115" i="2"/>
  <c r="E342" i="2"/>
  <c r="B351" i="2" s="1"/>
  <c r="D351" i="2" s="1"/>
  <c r="D362" i="2" s="1"/>
  <c r="E58" i="81" l="1"/>
  <c r="E56" i="81"/>
  <c r="E62" i="81"/>
  <c r="E57" i="81"/>
  <c r="E63" i="82"/>
  <c r="E61" i="81"/>
  <c r="E59" i="81"/>
  <c r="E60" i="81"/>
  <c r="E55" i="81"/>
  <c r="E158" i="81"/>
  <c r="D540" i="2"/>
  <c r="B281" i="2"/>
  <c r="D281" i="2" s="1"/>
  <c r="B311" i="2"/>
  <c r="D311" i="2" s="1"/>
  <c r="B329" i="2" s="1"/>
  <c r="D329" i="2" s="1"/>
  <c r="C361" i="2" s="1"/>
  <c r="D152" i="2"/>
  <c r="C255" i="2" s="1"/>
  <c r="E114" i="2"/>
  <c r="B320" i="2"/>
  <c r="D320" i="2" s="1"/>
  <c r="B290" i="2"/>
  <c r="D290" i="2" s="1"/>
  <c r="C154" i="2"/>
  <c r="B288" i="2"/>
  <c r="D288" i="2" s="1"/>
  <c r="E288" i="2" s="1"/>
  <c r="B318" i="2"/>
  <c r="D318" i="2" s="1"/>
  <c r="C152" i="2"/>
  <c r="B319" i="2"/>
  <c r="D319" i="2" s="1"/>
  <c r="B289" i="2"/>
  <c r="D289" i="2" s="1"/>
  <c r="C153" i="2"/>
  <c r="C540" i="2"/>
  <c r="B310" i="2"/>
  <c r="D310" i="2" s="1"/>
  <c r="B328" i="2" s="1"/>
  <c r="D328" i="2" s="1"/>
  <c r="C360" i="2" s="1"/>
  <c r="B280" i="2"/>
  <c r="D280" i="2" s="1"/>
  <c r="E409" i="2"/>
  <c r="B540" i="2"/>
  <c r="B309" i="2"/>
  <c r="D309" i="2" s="1"/>
  <c r="B327" i="2" s="1"/>
  <c r="D327" i="2" s="1"/>
  <c r="C359" i="2" s="1"/>
  <c r="B279" i="2"/>
  <c r="D279" i="2" s="1"/>
  <c r="E343" i="2"/>
  <c r="B352" i="2" s="1"/>
  <c r="D352" i="2" s="1"/>
  <c r="D363" i="2" s="1"/>
  <c r="D153" i="2"/>
  <c r="C256" i="2" s="1"/>
  <c r="B258" i="2"/>
  <c r="B146" i="2"/>
  <c r="D146" i="2" s="1"/>
  <c r="B137" i="2"/>
  <c r="D137" i="2" s="1"/>
  <c r="B155" i="2" s="1"/>
  <c r="B260" i="2"/>
  <c r="B148" i="2"/>
  <c r="D148" i="2" s="1"/>
  <c r="B139" i="2"/>
  <c r="D139" i="2" s="1"/>
  <c r="B157" i="2" s="1"/>
  <c r="D154" i="2"/>
  <c r="C257" i="2" s="1"/>
  <c r="E63" i="81" l="1"/>
  <c r="E88" i="81" s="1"/>
  <c r="E91" i="81" s="1"/>
  <c r="E157" i="81" s="1"/>
  <c r="E88" i="82"/>
  <c r="E91" i="82" s="1"/>
  <c r="E104" i="82"/>
  <c r="B259" i="2"/>
  <c r="B138" i="2"/>
  <c r="D138" i="2" s="1"/>
  <c r="B156" i="2" s="1"/>
  <c r="B147" i="2"/>
  <c r="D147" i="2" s="1"/>
  <c r="B299" i="2"/>
  <c r="D299" i="2" s="1"/>
  <c r="B361" i="2" s="1"/>
  <c r="E361" i="2" s="1"/>
  <c r="E290" i="2"/>
  <c r="E289" i="2"/>
  <c r="B297" i="2"/>
  <c r="D297" i="2" s="1"/>
  <c r="B359" i="2" s="1"/>
  <c r="E359" i="2" s="1"/>
  <c r="B321" i="2"/>
  <c r="D321" i="2" s="1"/>
  <c r="B291" i="2"/>
  <c r="D291" i="2" s="1"/>
  <c r="C155" i="2"/>
  <c r="D155" i="2" s="1"/>
  <c r="C258" i="2" s="1"/>
  <c r="E258" i="2" s="1"/>
  <c r="B323" i="2"/>
  <c r="D323" i="2" s="1"/>
  <c r="B293" i="2"/>
  <c r="D293" i="2" s="1"/>
  <c r="C157" i="2"/>
  <c r="D157" i="2" s="1"/>
  <c r="C260" i="2" s="1"/>
  <c r="E260" i="2" s="1"/>
  <c r="B298" i="2"/>
  <c r="D298" i="2" s="1"/>
  <c r="B360" i="2" s="1"/>
  <c r="E360" i="2" s="1"/>
  <c r="E318" i="2"/>
  <c r="E319" i="2"/>
  <c r="E104" i="81" l="1"/>
  <c r="E111" i="81" s="1"/>
  <c r="E157" i="82"/>
  <c r="E110" i="82"/>
  <c r="E111" i="82"/>
  <c r="E109" i="82"/>
  <c r="E112" i="82"/>
  <c r="E108" i="82"/>
  <c r="E107" i="82"/>
  <c r="B314" i="2"/>
  <c r="D314" i="2" s="1"/>
  <c r="B332" i="2" s="1"/>
  <c r="D332" i="2" s="1"/>
  <c r="C364" i="2" s="1"/>
  <c r="B284" i="2"/>
  <c r="D284" i="2" s="1"/>
  <c r="B302" i="2" s="1"/>
  <c r="D302" i="2" s="1"/>
  <c r="B364" i="2" s="1"/>
  <c r="B282" i="2"/>
  <c r="D282" i="2" s="1"/>
  <c r="B300" i="2" s="1"/>
  <c r="D300" i="2" s="1"/>
  <c r="B362" i="2" s="1"/>
  <c r="B312" i="2"/>
  <c r="D312" i="2" s="1"/>
  <c r="B330" i="2" s="1"/>
  <c r="D330" i="2" s="1"/>
  <c r="C362" i="2" s="1"/>
  <c r="B541" i="2"/>
  <c r="E429" i="2"/>
  <c r="E410" i="2"/>
  <c r="B429" i="2"/>
  <c r="D429" i="2" s="1"/>
  <c r="B435" i="2" s="1"/>
  <c r="D435" i="2" s="1"/>
  <c r="C443" i="2" s="1"/>
  <c r="B408" i="2"/>
  <c r="D408" i="2" s="1"/>
  <c r="B417" i="2" s="1"/>
  <c r="D417" i="2" s="1"/>
  <c r="E417" i="2" s="1"/>
  <c r="B443" i="2" s="1"/>
  <c r="D443" i="2" s="1"/>
  <c r="B542" i="2" s="1"/>
  <c r="D541" i="2"/>
  <c r="B410" i="2"/>
  <c r="D410" i="2" s="1"/>
  <c r="B419" i="2" s="1"/>
  <c r="D419" i="2" s="1"/>
  <c r="E419" i="2" s="1"/>
  <c r="B445" i="2" s="1"/>
  <c r="D445" i="2" s="1"/>
  <c r="D542" i="2" s="1"/>
  <c r="B431" i="2"/>
  <c r="D431" i="2" s="1"/>
  <c r="B437" i="2" s="1"/>
  <c r="D437" i="2" s="1"/>
  <c r="C445" i="2" s="1"/>
  <c r="B521" i="2"/>
  <c r="D521" i="2" s="1"/>
  <c r="D544" i="2" s="1"/>
  <c r="C541" i="2"/>
  <c r="B430" i="2"/>
  <c r="D430" i="2" s="1"/>
  <c r="B436" i="2" s="1"/>
  <c r="D436" i="2" s="1"/>
  <c r="C444" i="2" s="1"/>
  <c r="B409" i="2"/>
  <c r="D409" i="2" s="1"/>
  <c r="B418" i="2" s="1"/>
  <c r="D418" i="2" s="1"/>
  <c r="E418" i="2" s="1"/>
  <c r="B444" i="2" s="1"/>
  <c r="B322" i="2"/>
  <c r="D322" i="2" s="1"/>
  <c r="B292" i="2"/>
  <c r="D292" i="2" s="1"/>
  <c r="C156" i="2"/>
  <c r="D156" i="2"/>
  <c r="C259" i="2" s="1"/>
  <c r="E259" i="2" s="1"/>
  <c r="E108" i="81" l="1"/>
  <c r="E107" i="81"/>
  <c r="E109" i="81"/>
  <c r="E110" i="81"/>
  <c r="E112" i="81"/>
  <c r="E113" i="82"/>
  <c r="E123" i="82" s="1"/>
  <c r="E125" i="82" s="1"/>
  <c r="E159" i="82" s="1"/>
  <c r="E161" i="82" s="1"/>
  <c r="B283" i="2"/>
  <c r="D283" i="2" s="1"/>
  <c r="B301" i="2" s="1"/>
  <c r="D301" i="2" s="1"/>
  <c r="B363" i="2" s="1"/>
  <c r="E363" i="2" s="1"/>
  <c r="B412" i="2" s="1"/>
  <c r="D412" i="2" s="1"/>
  <c r="B421" i="2" s="1"/>
  <c r="D421" i="2" s="1"/>
  <c r="E421" i="2" s="1"/>
  <c r="B447" i="2" s="1"/>
  <c r="D447" i="2" s="1"/>
  <c r="B313" i="2"/>
  <c r="D313" i="2" s="1"/>
  <c r="B331" i="2" s="1"/>
  <c r="D331" i="2" s="1"/>
  <c r="C363" i="2" s="1"/>
  <c r="B519" i="2"/>
  <c r="D519" i="2" s="1"/>
  <c r="B544" i="2" s="1"/>
  <c r="D444" i="2"/>
  <c r="E362" i="2"/>
  <c r="E364" i="2"/>
  <c r="E113" i="81" l="1"/>
  <c r="E123" i="81" s="1"/>
  <c r="E125" i="81" s="1"/>
  <c r="E141" i="82"/>
  <c r="E142" i="82" s="1"/>
  <c r="E148" i="82" s="1"/>
  <c r="E159" i="81"/>
  <c r="E161" i="81" s="1"/>
  <c r="E141" i="81"/>
  <c r="E142" i="81" s="1"/>
  <c r="E145" i="81" s="1"/>
  <c r="C542" i="2"/>
  <c r="B520" i="2"/>
  <c r="D520" i="2" s="1"/>
  <c r="C544" i="2" s="1"/>
  <c r="B523" i="2"/>
  <c r="D523" i="2" s="1"/>
  <c r="B532" i="2"/>
  <c r="D532" i="2" s="1"/>
  <c r="C545" i="2" s="1"/>
  <c r="B524" i="2"/>
  <c r="D524" i="2" s="1"/>
  <c r="B413" i="2"/>
  <c r="D413" i="2" s="1"/>
  <c r="B422" i="2" s="1"/>
  <c r="D422" i="2" s="1"/>
  <c r="E422" i="2" s="1"/>
  <c r="B448" i="2" s="1"/>
  <c r="D448" i="2" s="1"/>
  <c r="B533" i="2"/>
  <c r="D533" i="2" s="1"/>
  <c r="D545" i="2" s="1"/>
  <c r="B411" i="2"/>
  <c r="D411" i="2" s="1"/>
  <c r="B420" i="2" s="1"/>
  <c r="D420" i="2" s="1"/>
  <c r="E420" i="2" s="1"/>
  <c r="B446" i="2" s="1"/>
  <c r="D446" i="2" s="1"/>
  <c r="G148" i="82" l="1"/>
  <c r="G149" i="82" s="1"/>
  <c r="G150" i="82" s="1"/>
  <c r="E145" i="82"/>
  <c r="E146" i="82"/>
  <c r="E150" i="82"/>
  <c r="E146" i="81"/>
  <c r="E150" i="81"/>
  <c r="E148" i="81"/>
  <c r="G148" i="81"/>
  <c r="G149" i="81" s="1"/>
  <c r="G150" i="81" s="1"/>
  <c r="B522" i="2"/>
  <c r="D522" i="2" s="1"/>
  <c r="B531" i="2" s="1"/>
  <c r="D531" i="2" s="1"/>
  <c r="B545" i="2" s="1"/>
  <c r="E151" i="82" l="1"/>
  <c r="E162" i="82" s="1"/>
  <c r="E163" i="82" s="1"/>
  <c r="B169" i="82" s="1"/>
  <c r="D169" i="82" s="1"/>
  <c r="F11" i="84" s="1"/>
  <c r="E151" i="81"/>
  <c r="E162" i="81" s="1"/>
  <c r="E163" i="81" s="1"/>
  <c r="F4" i="84" s="1"/>
  <c r="F169" i="82" l="1"/>
  <c r="C173" i="82"/>
  <c r="C173" i="81"/>
  <c r="B169" i="81"/>
  <c r="D169" i="81" s="1"/>
  <c r="F169" i="81" s="1"/>
  <c r="C174" i="82" l="1"/>
  <c r="C175" i="82" s="1"/>
  <c r="G11" i="84"/>
  <c r="C174" i="81"/>
  <c r="C175" i="81" s="1"/>
  <c r="G4" i="84"/>
  <c r="H4" i="84" s="1"/>
  <c r="H11" i="84" l="1"/>
  <c r="J11" i="84" s="1"/>
  <c r="H16"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Scheyla Cristina de Souza Belmiro do Amaral</author>
  </authors>
  <commentList>
    <comment ref="B12" authorId="0" shapeId="0" xr:uid="{00000000-0006-0000-0E00-000001000000}">
      <text>
        <r>
          <rPr>
            <b/>
            <sz val="9"/>
            <rFont val="Segoe UI"/>
            <family val="2"/>
          </rPr>
          <t xml:space="preserve">Seges: </t>
        </r>
        <r>
          <rPr>
            <sz val="9"/>
            <rFont val="Segoe UI"/>
            <family val="2"/>
          </rPr>
          <t xml:space="preserve">Informar salário base conforme Convenção Coletiva de Trabalho vigente para a categoria e no município de prestação do serviço.
</t>
        </r>
      </text>
    </comment>
    <comment ref="C20" authorId="0" shapeId="0" xr:uid="{00000000-0006-0000-0E00-000002000000}">
      <text>
        <r>
          <rPr>
            <b/>
            <sz val="9"/>
            <rFont val="Segoe UI"/>
            <family val="2"/>
          </rPr>
          <t xml:space="preserve">Seges: </t>
        </r>
        <r>
          <rPr>
            <sz val="9"/>
            <rFont val="Segoe UI"/>
            <family val="2"/>
          </rPr>
          <t xml:space="preserve">Percentual conforme definido em CCT, se houver gratificação de função.
</t>
        </r>
      </text>
    </comment>
    <comment ref="C28" authorId="0" shapeId="0" xr:uid="{00000000-0006-0000-0E00-000003000000}">
      <text>
        <r>
          <rPr>
            <b/>
            <sz val="9"/>
            <rFont val="Segoe UI"/>
            <family val="2"/>
          </rPr>
          <t xml:space="preserve">Seges: </t>
        </r>
        <r>
          <rPr>
            <sz val="9"/>
            <rFont val="Segoe UI"/>
            <family val="2"/>
          </rPr>
          <t>Percentual conforme definido em CCT, quando houver adicional de periculosidade ou insabubridade</t>
        </r>
      </text>
    </comment>
    <comment ref="C41" authorId="0" shapeId="0" xr:uid="{00000000-0006-0000-0E00-000004000000}">
      <text>
        <r>
          <rPr>
            <b/>
            <sz val="9"/>
            <rFont val="Segoe UI"/>
            <family val="2"/>
          </rPr>
          <t xml:space="preserve">Seges: </t>
        </r>
        <r>
          <rPr>
            <sz val="9"/>
            <rFont val="Segoe UI"/>
            <family val="2"/>
          </rPr>
          <t xml:space="preserve">Considera hora noturna de 22h às 5h do dia segunte, portanto 7 horas noturnas de uma jornada de 12h. </t>
        </r>
      </text>
    </comment>
    <comment ref="C45" authorId="0" shapeId="0" xr:uid="{00000000-0006-0000-0E00-000005000000}">
      <text>
        <r>
          <rPr>
            <b/>
            <sz val="9"/>
            <rFont val="Segoe UI"/>
            <family val="2"/>
          </rPr>
          <t>Seges:</t>
        </r>
        <r>
          <rPr>
            <sz val="9"/>
            <rFont val="Segoe UI"/>
            <family val="2"/>
          </rPr>
          <t xml:space="preserve">
A título de pagamento adicional computa-se o pagamento de 7min e 30 s a cada hora noturna, por 7 horas, totalizando 52min e 30 s, que significa 1 hora da jornada de 12h.
</t>
        </r>
      </text>
    </comment>
    <comment ref="D45" authorId="0" shapeId="0" xr:uid="{00000000-0006-0000-0E00-000006000000}">
      <text>
        <r>
          <rPr>
            <b/>
            <sz val="9"/>
            <rFont val="Segoe UI"/>
            <family val="2"/>
          </rPr>
          <t>Seges:</t>
        </r>
        <r>
          <rPr>
            <sz val="9"/>
            <rFont val="Segoe UI"/>
            <family val="2"/>
          </rPr>
          <t xml:space="preserve"> Por tratar-se de hora considerada a mais, calcula-se pagamento de 100% da hora, acrescida do respectivo adicional noturno.</t>
        </r>
      </text>
    </comment>
    <comment ref="A48" authorId="0" shapeId="0" xr:uid="{00000000-0006-0000-0E00-000007000000}">
      <text>
        <r>
          <rPr>
            <b/>
            <sz val="9"/>
            <rFont val="Segoe UI"/>
            <family val="2"/>
          </rPr>
          <t xml:space="preserve">Seges: </t>
        </r>
        <r>
          <rPr>
            <sz val="9"/>
            <rFont val="Segoe UI"/>
            <family val="2"/>
          </rPr>
          <t>Tabela resumo da totalização do Adicional noturno.
Automatizada, desde que não haja alterações de fórmulas ou estrutura da planilha.</t>
        </r>
      </text>
    </comment>
    <comment ref="A68" authorId="0" shapeId="0" xr:uid="{00000000-0006-0000-0E00-000008000000}">
      <text>
        <r>
          <rPr>
            <b/>
            <sz val="9"/>
            <rFont val="Segoe UI"/>
            <family val="2"/>
          </rPr>
          <t xml:space="preserve">Seges: </t>
        </r>
        <r>
          <rPr>
            <sz val="9"/>
            <rFont val="Segoe UI"/>
            <family val="2"/>
          </rPr>
          <t xml:space="preserve">Automatizada, desde que não haja alterações de fórmulas ou estrutura da planilha.
</t>
        </r>
      </text>
    </comment>
    <comment ref="C82" authorId="0" shapeId="0" xr:uid="{00000000-0006-0000-0E00-000009000000}">
      <text>
        <r>
          <rPr>
            <b/>
            <sz val="9"/>
            <rFont val="Segoe UI"/>
            <family val="2"/>
          </rPr>
          <t xml:space="preserve">Seges: </t>
        </r>
        <r>
          <rPr>
            <sz val="9"/>
            <rFont val="Segoe UI"/>
            <family val="2"/>
          </rPr>
          <t>Por tratar-se de planilha mensal será contabilizado 1/12 avos do custo.</t>
        </r>
      </text>
    </comment>
    <comment ref="A90" authorId="0" shapeId="0" xr:uid="{00000000-0006-0000-0E00-00000A000000}">
      <text>
        <r>
          <rPr>
            <b/>
            <sz val="9"/>
            <rFont val="Segoe UI"/>
            <family val="2"/>
          </rPr>
          <t xml:space="preserve">Seges: </t>
        </r>
        <r>
          <rPr>
            <sz val="9"/>
            <rFont val="Segoe UI"/>
            <family val="2"/>
          </rPr>
          <t xml:space="preserve">Observações importantes: 
1ª - Levando em consideração a vigência contratual prevista no art. 57 da Lei nº 8.666, de 23 de junho de 1993, a referida rubrica tem como principal objetivo suprir a necessidade no final do contrato de 12 meses o pagamento ao direito às férias remuneradas, na forma prevista na Consolidação das Leis do Trabalho. Esta rubrica, quando da prorrogação contratual, torna-se objeto de custo não renovável. 
2ª - Deve ser ponderado pelo gestor no momento da composição de custos, a necessidade ou não da inclusão dessa rubrica, observada nesses casos sempre a duração do contrato. Caso seja firmado contrato com duração superior a 12 meses, sugere-se a exclusão dessa rubrica.
</t>
        </r>
      </text>
    </comment>
    <comment ref="C101" authorId="0" shapeId="0" xr:uid="{00000000-0006-0000-0E00-00000B000000}">
      <text>
        <r>
          <rPr>
            <b/>
            <sz val="9"/>
            <rFont val="Segoe UI"/>
            <family val="2"/>
          </rPr>
          <t>Seges:</t>
        </r>
        <r>
          <rPr>
            <sz val="9"/>
            <rFont val="Segoe UI"/>
            <family val="2"/>
          </rPr>
          <t xml:space="preserve"> Corresponde ao previsto na Constituição. Adicional de 1/3 a mais do salário normal.
</t>
        </r>
      </text>
    </comment>
    <comment ref="A108" authorId="0" shapeId="0" xr:uid="{00000000-0006-0000-0E00-00000C000000}">
      <text>
        <r>
          <rPr>
            <b/>
            <sz val="9"/>
            <rFont val="Segoe UI"/>
            <family val="2"/>
          </rPr>
          <t xml:space="preserve">Seges: </t>
        </r>
        <r>
          <rPr>
            <sz val="9"/>
            <rFont val="Segoe UI"/>
            <family val="2"/>
          </rPr>
          <t xml:space="preserve">apenas totaliza a previsão mensal de custos com 13° Salário, Férias e Adicional de Férias.
</t>
        </r>
      </text>
    </comment>
    <comment ref="B124" authorId="0" shapeId="0" xr:uid="{00000000-0006-0000-0E00-00000D000000}">
      <text>
        <r>
          <rPr>
            <b/>
            <sz val="9"/>
            <rFont val="Segoe UI"/>
            <family val="2"/>
          </rPr>
          <t xml:space="preserve">Seges: </t>
        </r>
        <r>
          <rPr>
            <sz val="9"/>
            <rFont val="Segoe UI"/>
            <family val="2"/>
          </rPr>
          <t xml:space="preserve">Informar o percentual adequado à categoria profissional a ser contratada para a prestação do serviço.
</t>
        </r>
      </text>
    </comment>
    <comment ref="C134" authorId="0" shapeId="0" xr:uid="{00000000-0006-0000-0E00-00000E000000}">
      <text>
        <r>
          <rPr>
            <b/>
            <sz val="9"/>
            <rFont val="Segoe UI"/>
            <family val="2"/>
          </rPr>
          <t xml:space="preserve">Seges: </t>
        </r>
        <r>
          <rPr>
            <sz val="9"/>
            <rFont val="Segoe UI"/>
            <family val="2"/>
          </rPr>
          <t xml:space="preserve">Corresponde ao somatório dos encargos para financiamento da seguridade social.
O percentual será alterado quando do preenchimento da aliquota do SAT/GIIL-RAT
</t>
        </r>
      </text>
    </comment>
    <comment ref="C143" authorId="0" shapeId="0" xr:uid="{00000000-0006-0000-0E00-00000F000000}">
      <text>
        <r>
          <rPr>
            <b/>
            <sz val="9"/>
            <rFont val="Segoe UI"/>
            <family val="2"/>
          </rPr>
          <t xml:space="preserve">Seges: </t>
        </r>
        <r>
          <rPr>
            <sz val="9"/>
            <rFont val="Segoe UI"/>
            <family val="2"/>
          </rPr>
          <t xml:space="preserve">Alíquota mensal de depóstio à título de FGTS, conforme Lei n° 8.036, de 1990.
</t>
        </r>
      </text>
    </comment>
    <comment ref="A150" authorId="0" shapeId="0" xr:uid="{00000000-0006-0000-0E00-000010000000}">
      <text>
        <r>
          <rPr>
            <b/>
            <sz val="9"/>
            <rFont val="Segoe UI"/>
            <family val="2"/>
          </rPr>
          <t xml:space="preserve">Seges: </t>
        </r>
        <r>
          <rPr>
            <sz val="9"/>
            <rFont val="Segoe UI"/>
            <family val="2"/>
          </rPr>
          <t xml:space="preserve">Totalização dos Encargos. Automatizada, desde que não haja alteração nas fórmulas e estrutura da planilha.
</t>
        </r>
      </text>
    </comment>
    <comment ref="B165" authorId="0" shapeId="0" xr:uid="{00000000-0006-0000-0E00-000011000000}">
      <text>
        <r>
          <rPr>
            <b/>
            <sz val="9"/>
            <rFont val="Segoe UI"/>
            <family val="2"/>
          </rPr>
          <t xml:space="preserve">Seges: </t>
        </r>
        <r>
          <rPr>
            <sz val="9"/>
            <rFont val="Segoe UI"/>
            <family val="2"/>
          </rPr>
          <t xml:space="preserve">Valor da tarifa de transporte público praticada no município de prestação do serviço.
</t>
        </r>
      </text>
    </comment>
    <comment ref="D166" authorId="0" shapeId="0" xr:uid="{00000000-0006-0000-0E00-000012000000}">
      <text>
        <r>
          <rPr>
            <b/>
            <sz val="9"/>
            <rFont val="Segoe UI"/>
            <family val="2"/>
          </rPr>
          <t xml:space="preserve">Seges: </t>
        </r>
        <r>
          <rPr>
            <sz val="9"/>
            <rFont val="Segoe UI"/>
            <family val="2"/>
          </rPr>
          <t xml:space="preserve">apenas sugerido, depende de disposições constantes na CCT.
</t>
        </r>
      </text>
    </comment>
    <comment ref="C174" authorId="0" shapeId="0" xr:uid="{00000000-0006-0000-0E00-000013000000}">
      <text>
        <r>
          <rPr>
            <b/>
            <sz val="9"/>
            <rFont val="Segoe UI"/>
            <family val="2"/>
          </rPr>
          <t xml:space="preserve">Seges: exemplificativo... </t>
        </r>
        <r>
          <rPr>
            <sz val="9"/>
            <rFont val="Segoe UI"/>
            <family val="2"/>
          </rPr>
          <t xml:space="preserve">O desconto poderá ser proporcional, conforme disposto no art. 10 do Decreto n° 95.247, de 1987.
O órgão contatante deverá apreciar o comportamento das empresas prestadoras de serviço e ajustar, conforme necessidade.
</t>
        </r>
      </text>
    </comment>
    <comment ref="B194" authorId="0" shapeId="0" xr:uid="{00000000-0006-0000-0E00-000014000000}">
      <text>
        <r>
          <rPr>
            <b/>
            <sz val="9"/>
            <rFont val="Segoe UI"/>
            <family val="2"/>
          </rPr>
          <t xml:space="preserve">Seges: </t>
        </r>
        <r>
          <rPr>
            <sz val="9"/>
            <rFont val="Segoe UI"/>
            <family val="2"/>
          </rPr>
          <t xml:space="preserve">Conforme estabelecido em Convenção Coletiva de Trabalho
</t>
        </r>
      </text>
    </comment>
    <comment ref="C195" authorId="0" shapeId="0" xr:uid="{00000000-0006-0000-0E00-000015000000}">
      <text>
        <r>
          <rPr>
            <b/>
            <sz val="9"/>
            <rFont val="Segoe UI"/>
            <family val="2"/>
          </rPr>
          <t xml:space="preserve">Seges: </t>
        </r>
        <r>
          <rPr>
            <sz val="9"/>
            <rFont val="Segoe UI"/>
            <family val="2"/>
          </rPr>
          <t xml:space="preserve">apenas sugerido, depende de disposições constantes na CCT.
</t>
        </r>
      </text>
    </comment>
    <comment ref="C203" authorId="0" shapeId="0" xr:uid="{00000000-0006-0000-0E00-000016000000}">
      <text>
        <r>
          <rPr>
            <b/>
            <sz val="9"/>
            <rFont val="Segoe UI"/>
            <family val="2"/>
          </rPr>
          <t xml:space="preserve">Seges: </t>
        </r>
        <r>
          <rPr>
            <sz val="9"/>
            <rFont val="Segoe UI"/>
            <family val="2"/>
          </rPr>
          <t xml:space="preserve">Observar desconto informado em Convenção Coletiva.
</t>
        </r>
      </text>
    </comment>
    <comment ref="B204" authorId="0" shapeId="0" xr:uid="{00000000-0006-0000-0E00-000017000000}">
      <text>
        <r>
          <rPr>
            <b/>
            <sz val="9"/>
            <rFont val="Segoe UI"/>
            <family val="2"/>
          </rPr>
          <t xml:space="preserve">Seges: </t>
        </r>
        <r>
          <rPr>
            <sz val="9"/>
            <rFont val="Segoe UI"/>
            <family val="2"/>
          </rPr>
          <t>Observar Convenção Coletiva sobre base de cálculo, habitualmente o desconto é sobre o valor do benefício concedido.</t>
        </r>
      </text>
    </comment>
    <comment ref="B213" authorId="0" shapeId="0" xr:uid="{00000000-0006-0000-0E00-000018000000}">
      <text>
        <r>
          <rPr>
            <b/>
            <sz val="9"/>
            <rFont val="Segoe UI"/>
            <family val="2"/>
          </rPr>
          <t xml:space="preserve">Seges: </t>
        </r>
        <r>
          <rPr>
            <sz val="9"/>
            <rFont val="Segoe UI"/>
            <family val="2"/>
          </rPr>
          <t>Observar Convenção Coletiva sobre base de cálculo, habitualmente o desconto é sobre o valor do benefício concedido.</t>
        </r>
      </text>
    </comment>
    <comment ref="A242" authorId="0" shapeId="0" xr:uid="{00000000-0006-0000-0E00-000019000000}">
      <text>
        <r>
          <rPr>
            <b/>
            <sz val="9"/>
            <rFont val="Segoe UI"/>
            <family val="2"/>
          </rPr>
          <t xml:space="preserve">Seges: </t>
        </r>
        <r>
          <rPr>
            <sz val="9"/>
            <rFont val="Segoe UI"/>
            <family val="2"/>
          </rPr>
          <t>Apenas totaliza os custos efetivos com benefícios mensais do trabalhador.
Automatizada, desde que não haja alteração de fórmulas ou estrutura da planilha</t>
        </r>
      </text>
    </comment>
    <comment ref="A253" authorId="0" shapeId="0" xr:uid="{00000000-0006-0000-0E00-00001A000000}">
      <text>
        <r>
          <rPr>
            <b/>
            <sz val="9"/>
            <rFont val="Segoe UI"/>
            <family val="2"/>
          </rPr>
          <t xml:space="preserve">Seges: </t>
        </r>
        <r>
          <rPr>
            <sz val="9"/>
            <rFont val="Segoe UI"/>
            <family val="2"/>
          </rPr>
          <t xml:space="preserve">Totaliza o módulo 2, com somatória de 13° salário, férias, adicional, encargos e benefícios.
</t>
        </r>
      </text>
    </comment>
    <comment ref="B268" authorId="0" shapeId="0" xr:uid="{00000000-0006-0000-0E00-00001B000000}">
      <text>
        <r>
          <rPr>
            <b/>
            <sz val="9"/>
            <rFont val="Segoe UI"/>
            <family val="2"/>
          </rPr>
          <t xml:space="preserve">Seges: exemplificativo
</t>
        </r>
        <r>
          <rPr>
            <sz val="9"/>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 ref="A357" authorId="0" shapeId="0" xr:uid="{00000000-0006-0000-0E00-00001C000000}">
      <text>
        <r>
          <rPr>
            <b/>
            <sz val="9"/>
            <rFont val="Segoe UI"/>
            <family val="2"/>
          </rPr>
          <t>Seges:</t>
        </r>
        <r>
          <rPr>
            <sz val="9"/>
            <rFont val="Segoe UI"/>
            <family val="2"/>
          </rPr>
          <t xml:space="preserve">
Totaliza o custo estimado a ser provisionado mensalmente. Está automatizada, desde que não haja alteração de fórmulas e/ou estrutura da planilha.</t>
        </r>
      </text>
    </comment>
    <comment ref="B371" authorId="0" shapeId="0" xr:uid="{00000000-0006-0000-0E00-00001D000000}">
      <text>
        <r>
          <rPr>
            <b/>
            <sz val="9"/>
            <rFont val="Segoe UI"/>
            <family val="2"/>
          </rPr>
          <t xml:space="preserve">Seges: </t>
        </r>
        <r>
          <rPr>
            <sz val="9"/>
            <rFont val="Segoe UI"/>
            <family val="2"/>
          </rPr>
          <t xml:space="preserve">Probabilidade de ocorrência de ausência do profissional residente quando será necessária a presença de um repositor. O órgão deverá observar o histórico das contratações anteriores para estimar tais probabilidades.
</t>
        </r>
      </text>
    </comment>
    <comment ref="C371" authorId="0" shapeId="0" xr:uid="{00000000-0006-0000-0E00-00001E000000}">
      <text>
        <r>
          <rPr>
            <b/>
            <sz val="9"/>
            <rFont val="Segoe UI"/>
            <family val="2"/>
          </rPr>
          <t xml:space="preserve">Segesl: </t>
        </r>
        <r>
          <rPr>
            <sz val="9"/>
            <rFont val="Segoe UI"/>
            <family val="2"/>
          </rPr>
          <t xml:space="preserve">Duração computada em dias, conforme previsão em legislação.
</t>
        </r>
      </text>
    </comment>
    <comment ref="A386" authorId="0" shapeId="0" xr:uid="{00000000-0006-0000-0E00-00001F000000}">
      <text>
        <r>
          <rPr>
            <b/>
            <sz val="9"/>
            <rFont val="Segoe UI"/>
            <family val="2"/>
          </rPr>
          <t xml:space="preserve">Seges: </t>
        </r>
        <r>
          <rPr>
            <sz val="9"/>
            <rFont val="Segoe UI"/>
            <family val="2"/>
          </rPr>
          <t>Esta tabela apresenta o resumo dos dias prováveis de ausência, quando seria necessária a presença de um profissional repositor.
Seu cálculo está automatizado mediante preenchimento da tabela anterior.</t>
        </r>
      </text>
    </comment>
    <comment ref="A389" authorId="0" shapeId="0" xr:uid="{00000000-0006-0000-0E00-000020000000}">
      <text>
        <r>
          <rPr>
            <b/>
            <sz val="9"/>
            <rFont val="Segoe UI"/>
            <family val="2"/>
          </rPr>
          <t xml:space="preserve">Seges: </t>
        </r>
        <r>
          <rPr>
            <sz val="9"/>
            <rFont val="Segoe UI"/>
            <family val="2"/>
          </rPr>
          <t xml:space="preserve">este ítem destina-se ao cálculo do custo do empregado substituto que virá cobrir o período de férias do residente, portanto, não se confunde com o direito ao pagamento de férias daquele.
Desde que não haja alteração de fórmulas e/ou estrutura da planilha.
</t>
        </r>
      </text>
    </comment>
    <comment ref="A415" authorId="0" shapeId="0" xr:uid="{00000000-0006-0000-0E00-000021000000}">
      <text>
        <r>
          <rPr>
            <b/>
            <sz val="9"/>
            <rFont val="Segoe UI"/>
            <family val="2"/>
          </rPr>
          <t xml:space="preserve">Seges: </t>
        </r>
        <r>
          <rPr>
            <sz val="9"/>
            <rFont val="Segoe UI"/>
            <family val="2"/>
          </rPr>
          <t xml:space="preserve">Tabela automatizada para cálculo do custo mensal com reposição do profissional ausente, mediante preenchimento das anteriores. Desde que não haja alteração de fórmulas e/ou estrutura da planilha.
</t>
        </r>
      </text>
    </comment>
    <comment ref="A441" authorId="0" shapeId="0" xr:uid="{00000000-0006-0000-0E00-000022000000}">
      <text>
        <r>
          <rPr>
            <b/>
            <sz val="9"/>
            <rFont val="Segoe UI"/>
            <family val="2"/>
          </rPr>
          <t>Seges:</t>
        </r>
        <r>
          <rPr>
            <sz val="9"/>
            <rFont val="Segoe UI"/>
            <family val="2"/>
          </rPr>
          <t xml:space="preserve"> Esta tabela totaliza os custos com reposição de profissional ausente e está automatizada mediante preenchimento das anteriores. Desde que não haja alteração de fórmulas e/ou estrutura da planilha.</t>
        </r>
      </text>
    </comment>
    <comment ref="D453" authorId="0" shapeId="0" xr:uid="{00000000-0006-0000-0E00-000023000000}">
      <text>
        <r>
          <rPr>
            <b/>
            <sz val="9"/>
            <rFont val="Segoe UI"/>
            <family val="2"/>
          </rPr>
          <t>Seges:</t>
        </r>
        <r>
          <rPr>
            <sz val="9"/>
            <rFont val="Segoe UI"/>
            <family val="2"/>
          </rPr>
          <t xml:space="preserve"> todos os itens relacionados a insumos deverão ser objeto de pesquisa de preços conforme diretrizes da Instrução Normativa específica (IN n° 3, de 20 de abril de 2017).
</t>
        </r>
      </text>
    </comment>
    <comment ref="A512" authorId="0" shapeId="0" xr:uid="{00000000-0006-0000-0E00-000024000000}">
      <text>
        <r>
          <rPr>
            <b/>
            <sz val="9"/>
            <rFont val="Segoe UI"/>
            <family val="2"/>
          </rPr>
          <t xml:space="preserve">Seges: </t>
        </r>
        <r>
          <rPr>
            <sz val="9"/>
            <rFont val="Segoe UI"/>
            <family val="2"/>
          </rPr>
          <t xml:space="preserve">Nesta tabela poderão ser informados os percentuais previstos de Custos Indiretos, Tributos e Lucro separadamente para permitir o cálculo automático segundo metodologia Seges. Desde que não haja alteração de modelo da planilha e de fórmulas.
</t>
        </r>
      </text>
    </comment>
    <comment ref="A537" authorId="0" shapeId="0" xr:uid="{00000000-0006-0000-0E00-000025000000}">
      <text>
        <r>
          <rPr>
            <b/>
            <sz val="9"/>
            <rFont val="Segoe UI"/>
            <family val="2"/>
          </rPr>
          <t xml:space="preserve">Seges: </t>
        </r>
        <r>
          <rPr>
            <sz val="9"/>
            <rFont val="Segoe UI"/>
            <family val="2"/>
          </rPr>
          <t>Esta tabela totaliza o custo do trabalhador e está automatizada, desde que não haja alteração nas formulas e no modelo da presente planilha. Ajustes necessários são responsailidade do órgão contratante, por quem deverão ser conferidos.</t>
        </r>
      </text>
    </comment>
  </commentList>
</comments>
</file>

<file path=xl/sharedStrings.xml><?xml version="1.0" encoding="utf-8"?>
<sst xmlns="http://schemas.openxmlformats.org/spreadsheetml/2006/main" count="1346" uniqueCount="466">
  <si>
    <t>CET-SEG SEGURANÇA ARMADA LTDA</t>
  </si>
  <si>
    <t>TRANSPORTE DE VALORES, VIGILANCIA PATRIMONIAL,</t>
  </si>
  <si>
    <t>ESCOLTA ARMADA, SEGURANÇA PESSOAL</t>
  </si>
  <si>
    <t>PIAUÍ, MARANHÃO E CEARÁ.</t>
  </si>
  <si>
    <t>Ao</t>
  </si>
  <si>
    <t>Universidade Federal do Piaui -Pro Reitoria de Administração</t>
  </si>
  <si>
    <t>Coordenação de compras e Licitações</t>
  </si>
  <si>
    <t>Nº Processo:  nº 23111.063930/2019-17</t>
  </si>
  <si>
    <t>Pregão  Nº 2/2020</t>
  </si>
  <si>
    <t>Dia 05/02/2020 às 08:30 horas</t>
  </si>
  <si>
    <t>UNIFORMES . troca  simestral completo</t>
  </si>
  <si>
    <t>Itens</t>
  </si>
  <si>
    <t>Descrição</t>
  </si>
  <si>
    <t>Valor unitário</t>
  </si>
  <si>
    <t>Qte 6meses</t>
  </si>
  <si>
    <t>Valor Total</t>
  </si>
  <si>
    <t>Valor proporcional por mês</t>
  </si>
  <si>
    <t>calças Tatica</t>
  </si>
  <si>
    <t>6 meses</t>
  </si>
  <si>
    <t>Camisa manga longa /curta/ gondola</t>
  </si>
  <si>
    <t>cinto de nylon</t>
  </si>
  <si>
    <t>cuturno</t>
  </si>
  <si>
    <t>pares de meias</t>
  </si>
  <si>
    <t>Capa Colete</t>
  </si>
  <si>
    <t>cracha</t>
  </si>
  <si>
    <t>Apito com cordão</t>
  </si>
  <si>
    <t>Capa de Chuva</t>
  </si>
  <si>
    <t>TOTAL DO CUSTO MENSAL COM UNIFORMES</t>
  </si>
  <si>
    <t>EQUIPAMENTO DE PROTEÇÃO INDIVIDUAL/VIGILANTES</t>
  </si>
  <si>
    <t xml:space="preserve">Qte </t>
  </si>
  <si>
    <t>Porta Tonfa</t>
  </si>
  <si>
    <t>12 meses</t>
  </si>
  <si>
    <t>Coldre</t>
  </si>
  <si>
    <t>Teresina (PI),  18  de fevereiro  de 2020</t>
  </si>
  <si>
    <t>VEICULO /EQUIPAMENTOS/VIGILANTES</t>
  </si>
  <si>
    <t xml:space="preserve">Descrição </t>
  </si>
  <si>
    <t>Valor Unitario</t>
  </si>
  <si>
    <t>Quantidade/Posto</t>
  </si>
  <si>
    <t>Valor mensal</t>
  </si>
  <si>
    <t>EQUIPAMENTOS/VIGILANTES</t>
  </si>
  <si>
    <t>Bastão de Ronda com bottons</t>
  </si>
  <si>
    <t>TOTAL</t>
  </si>
  <si>
    <t>Custo mensal para um  posto 24h /por 4 vigilantes</t>
  </si>
  <si>
    <t>Radio de comunicação</t>
  </si>
  <si>
    <t>software de  manutenção dos radios</t>
  </si>
  <si>
    <t>lanterna led de-Bateria  blinda recaregavel</t>
  </si>
  <si>
    <t>Apito para  segurança</t>
  </si>
  <si>
    <t xml:space="preserve">revólver calibre 38 </t>
  </si>
  <si>
    <t xml:space="preserve"> munições( 12 cartuchos por vigilante)</t>
  </si>
  <si>
    <t>cofre</t>
  </si>
  <si>
    <t>livro de ocorrências</t>
  </si>
  <si>
    <t>colete  balisticos ( conforme art 87 da portaria 387/2006-DF/DPF)</t>
  </si>
  <si>
    <t>Tonfa</t>
  </si>
  <si>
    <t>Custo Mensal por  posto 24h</t>
  </si>
  <si>
    <t>Teresina (PI),  18 de fevereiro  de 2020</t>
  </si>
  <si>
    <t>PLANILHA DE CUSTOS E FORMAÇÃO DE PREÇOS PARA SERVIÇO DE VIGILÂNCIA</t>
  </si>
  <si>
    <t>       Discriminação dos Serviços (dados referentes à contratação)</t>
  </si>
  <si>
    <t>A</t>
  </si>
  <si>
    <t xml:space="preserve">Data de apresentação da proposta (dia/mês/ano) </t>
  </si>
  <si>
    <t>B</t>
  </si>
  <si>
    <t xml:space="preserve">Município/UF </t>
  </si>
  <si>
    <t>Teresina/PI</t>
  </si>
  <si>
    <t>C</t>
  </si>
  <si>
    <t>D</t>
  </si>
  <si>
    <t>E</t>
  </si>
  <si>
    <t xml:space="preserve">Tipo de Serviço </t>
  </si>
  <si>
    <t>Unidade de Medida</t>
  </si>
  <si>
    <t>Quant. total a contratar( em função da Unidade de Medida)</t>
  </si>
  <si>
    <t>Vigilancia Armada 24hs em escala  (12 x 36h)</t>
  </si>
  <si>
    <t>Posto</t>
  </si>
  <si>
    <t>LOCAL DA PRESTAÇÃO DE SERVIÇOS PICOS  - PI</t>
  </si>
  <si>
    <t>MÃO-DE-OBRA</t>
  </si>
  <si>
    <t>Mão-de -Obra Vinculada à Execução Contratual</t>
  </si>
  <si>
    <t>Dados complementares para composição dos custos referentes à mão-de-obra</t>
  </si>
  <si>
    <t xml:space="preserve">Tipo de serviço 
</t>
  </si>
  <si>
    <t>Vigilancia 24hs</t>
  </si>
  <si>
    <t>Classificação Brasileira de Ocupações (CBO)</t>
  </si>
  <si>
    <t>5173-30</t>
  </si>
  <si>
    <t xml:space="preserve">Salário normativo da categoria profissional </t>
  </si>
  <si>
    <t>Categoria profissional (vinculada à execução contratual)</t>
  </si>
  <si>
    <t>Vigilancia</t>
  </si>
  <si>
    <t>Data base da categoria (dia/mês/ano)</t>
  </si>
  <si>
    <t>Jornanda de Trabalho</t>
  </si>
  <si>
    <t>12 x 36h</t>
  </si>
  <si>
    <t>Periodo</t>
  </si>
  <si>
    <t>24hs</t>
  </si>
  <si>
    <t>Módulo 1: Composição da Remuneração</t>
  </si>
  <si>
    <t>Composição da Remuneração</t>
  </si>
  <si>
    <t>Valor (R$)</t>
  </si>
  <si>
    <t xml:space="preserve">A </t>
  </si>
  <si>
    <t>Adicional de Periculosidade -  30%</t>
  </si>
  <si>
    <t xml:space="preserve">Adicional Noturno </t>
  </si>
  <si>
    <t>Adicional de Hora Noturna Reduzida</t>
  </si>
  <si>
    <t>F</t>
  </si>
  <si>
    <t>Intrajornada Noturna</t>
  </si>
  <si>
    <t>G</t>
  </si>
  <si>
    <t>Intrajornada Diurna</t>
  </si>
  <si>
    <t>Total de Remuneração</t>
  </si>
  <si>
    <t>Módulo 2: Encargos e Benefícios Anuais, Mensais e Diários</t>
  </si>
  <si>
    <t>Submódulo 2.1 - 13º (décimo terceiro) Salário, Férias e Adicional de Férias</t>
  </si>
  <si>
    <t>2.1</t>
  </si>
  <si>
    <t>13º (décimo terceiro) Salário, Férias e Adicional de Férias</t>
  </si>
  <si>
    <t>Percentual (%)</t>
  </si>
  <si>
    <t>13º (décimo terceiro)</t>
  </si>
  <si>
    <t>Férias e Adicional de Férias - Item 14 do Anexo XII da IN nº 05/2017 e suas alteraçoes</t>
  </si>
  <si>
    <t>Subtotal</t>
  </si>
  <si>
    <t xml:space="preserve">Total </t>
  </si>
  <si>
    <t>Submódulo 2.2 - Encargos Previdenciários (GPS), Fundo de Garantia por Tempo de Serviço (FGTS) e outras contribuições.</t>
  </si>
  <si>
    <t>2.2</t>
  </si>
  <si>
    <t>GPS, FGTS e outras contribuições</t>
  </si>
  <si>
    <t>R$</t>
  </si>
  <si>
    <t>INSS</t>
  </si>
  <si>
    <t>Salário educação</t>
  </si>
  <si>
    <r>
      <rPr>
        <sz val="12"/>
        <color theme="1"/>
        <rFont val="Calibri"/>
        <family val="2"/>
        <scheme val="minor"/>
      </rPr>
      <t xml:space="preserve">SAT ou RAT ajustado </t>
    </r>
    <r>
      <rPr>
        <sz val="12"/>
        <color indexed="8"/>
        <rFont val="Calibri"/>
        <family val="2"/>
      </rPr>
      <t>(SAT = RAT 3,00% X FAP 1,007%)*</t>
    </r>
  </si>
  <si>
    <t>SESC ou SESI</t>
  </si>
  <si>
    <t>SENAI - SENAC</t>
  </si>
  <si>
    <t>SEBRAE</t>
  </si>
  <si>
    <t>INCRA</t>
  </si>
  <si>
    <t>H</t>
  </si>
  <si>
    <t>FGTS</t>
  </si>
  <si>
    <t xml:space="preserve">          TOTAL</t>
  </si>
  <si>
    <t>* Foi considerado um RAT de 3% e um FAP de ,50%.</t>
  </si>
  <si>
    <t>Nota 1: Os percentuais dos encargos previdenciários, do FGTS e demais contribuições são aqueles estabelecidos pela legislação vigente.</t>
  </si>
  <si>
    <t xml:space="preserve">Nota 2: O SAT, a depender do grau de risco do serviço, pode variar entre 1%, 2% ou 3%. A empesa deve comprovar o respectivo cálculo através do envio da GFIP. </t>
  </si>
  <si>
    <t>Nota 3: A base de cálculo desses percentuais é o somatório do Módulo 1 + Submódulo 2.1.</t>
  </si>
  <si>
    <t>Submódulo 2.3 - Benefícios Mensais e Diários.</t>
  </si>
  <si>
    <t>2.3</t>
  </si>
  <si>
    <t xml:space="preserve">Benefícios Mensais e Diários </t>
  </si>
  <si>
    <t xml:space="preserve">Transporte </t>
  </si>
  <si>
    <t xml:space="preserve">Auxílio-Refeição/Alimentação, </t>
  </si>
  <si>
    <t xml:space="preserve">Outros (especificar) Seguro </t>
  </si>
  <si>
    <t xml:space="preserve">Outros (especificar)Plano de Saude </t>
  </si>
  <si>
    <t>Auxilio creche</t>
  </si>
  <si>
    <t>-</t>
  </si>
  <si>
    <t xml:space="preserve">Total de benefícios mensais e diários </t>
  </si>
  <si>
    <t>* Não há em nosso quadro de funcionários enquadrados nos requisitos mínimos para o recebimento benefício deste benefício, ou seja, trabalhadoras comprovadamente sócias do Sindicato.</t>
  </si>
  <si>
    <t>Quadro-Resumo do Módulo 2 - Encargos e Benefícios anuais, mensais e diários</t>
  </si>
  <si>
    <t>Encargos e Benefícios Anuais, Mensais e Diários</t>
  </si>
  <si>
    <t xml:space="preserve">13º (décimo terceiro) Salário, Férias e Adicional de Férias </t>
  </si>
  <si>
    <t>Benefícios Mensais e Diários</t>
  </si>
  <si>
    <t>Módulo 3: Provisão para Rescisão</t>
  </si>
  <si>
    <t xml:space="preserve">Provisão para Rescisão </t>
  </si>
  <si>
    <t>Valor R$</t>
  </si>
  <si>
    <t xml:space="preserve">Aviso Prévio Indenizado </t>
  </si>
  <si>
    <t>Incidência do FGTS sobre o aviso prévio indenizado</t>
  </si>
  <si>
    <t xml:space="preserve">Multa do FGTS e contribuição social sobre o Aviso Prévio Indenizado </t>
  </si>
  <si>
    <t xml:space="preserve">Aviso Prévio Trabalhado </t>
  </si>
  <si>
    <t>Incidência de GPS, FGTS e outras contribuições sobre o
Aviso Prévio Trabalhado</t>
  </si>
  <si>
    <t>Multa do FGTS e contribuição social sobre o Aviso Prévio Trabalhado</t>
  </si>
  <si>
    <t>Nota 1: O somatório dos percentuais dos itens "C" e "F" acima deve ser de 5%, conforme Item 14 do Anexo XII da IN nº 05/2017 que trata dos valores provisionados na conta vinculada.</t>
  </si>
  <si>
    <t>Módulo 4 - Custo de Reposição do Profissional Ausente( base de calculo para moduilo 4) modulo1+mod2+modulo 3)</t>
  </si>
  <si>
    <t>Submódulo 4.1 - Ausências Legais</t>
  </si>
  <si>
    <t>4.1</t>
  </si>
  <si>
    <t>Composição do Custo de Reposição do Profissional Ausente</t>
  </si>
  <si>
    <t>Substituto na cobertura de Férias</t>
  </si>
  <si>
    <t>Substituto na cobertura de Ausencias legais</t>
  </si>
  <si>
    <t xml:space="preserve">Substituto na cobertura de Licença Paternidade </t>
  </si>
  <si>
    <t xml:space="preserve">Substituto na cobertura de Ausencia por Acidente de Trabalho </t>
  </si>
  <si>
    <t xml:space="preserve">Substituto na cobertura de Afastamento Maternidade </t>
  </si>
  <si>
    <t>Substituto na cobertura de outras incidências ausência por doença</t>
  </si>
  <si>
    <t>Submódulo -  4.2 - Substituto na Intrajornada</t>
  </si>
  <si>
    <t>4.2</t>
  </si>
  <si>
    <t>Substituto na Intrajornada</t>
  </si>
  <si>
    <t>Substituto na concessão de intervalo para repouso ou alimentação</t>
  </si>
  <si>
    <t>Quadro-Resumo do Módulo 4 - Custo de Reposição do Profissional Ausente</t>
  </si>
  <si>
    <t>Custo de Reposição do Profissional Ausente</t>
  </si>
  <si>
    <t>Substituto nas Ausências Legais</t>
  </si>
  <si>
    <t>Susbtituto na Intrajornada</t>
  </si>
  <si>
    <t>Módulo 5: Insumos Diversos</t>
  </si>
  <si>
    <t>Insumos Diversos</t>
  </si>
  <si>
    <t>Uniformes</t>
  </si>
  <si>
    <t xml:space="preserve">Materiais </t>
  </si>
  <si>
    <t>EPIS</t>
  </si>
  <si>
    <t>Equipamentos</t>
  </si>
  <si>
    <t xml:space="preserve">Outros : Bastão de ronda </t>
  </si>
  <si>
    <t>Outros (especificar)</t>
  </si>
  <si>
    <t>Módulo 6: Custos Indiretos, Tributos e Lucro</t>
  </si>
  <si>
    <t>Custos Indiretos, Tributos e Lucro</t>
  </si>
  <si>
    <t>Valor</t>
  </si>
  <si>
    <t>Custos Indiretos</t>
  </si>
  <si>
    <t xml:space="preserve">Lucro </t>
  </si>
  <si>
    <t>Tributos</t>
  </si>
  <si>
    <t>C.1 - Tributos Federais</t>
  </si>
  <si>
    <t>PIS</t>
  </si>
  <si>
    <t>COFINS</t>
  </si>
  <si>
    <t>Demostrativo dos tributos</t>
  </si>
  <si>
    <t>C.2 - Tributos Municipais</t>
  </si>
  <si>
    <t>ISS</t>
  </si>
  <si>
    <t xml:space="preserve">C.3 - Tributos  Estaduais </t>
  </si>
  <si>
    <t>(especificar)</t>
  </si>
  <si>
    <t>TOTAL DE TRIBUTOS</t>
  </si>
  <si>
    <t xml:space="preserve">Indice: Fórmula = 1 - (total de tributos%/ 100%) = </t>
  </si>
  <si>
    <t>QUADRO RESUMO DO CUSTO POR EMPREGADO</t>
  </si>
  <si>
    <t>Mão-de-obra vinculada à execução Contratual (valor por empregado)</t>
  </si>
  <si>
    <t xml:space="preserve">Módulo 1 - Composição da Remuneração </t>
  </si>
  <si>
    <t>Módulo 2 - Encargos e Benefícios Anuais, Mensais e Diários</t>
  </si>
  <si>
    <t>Módulo 3 - Provisão para Rescisão</t>
  </si>
  <si>
    <t>Módulo 4 - Custo de Reposição do Profissional Ausente</t>
  </si>
  <si>
    <t xml:space="preserve">E </t>
  </si>
  <si>
    <t>Módulo 5 - Insumos Diversos</t>
  </si>
  <si>
    <t>Subtotal (A+B+C+D+E)</t>
  </si>
  <si>
    <t>Módulo 6 – Custos Indiretos, Tributos e Lucro</t>
  </si>
  <si>
    <t>Valor Total do posto 24h</t>
  </si>
  <si>
    <t>QUADRO-RESUMO DO VALOR MENSAL DOS SERVIÇOS</t>
  </si>
  <si>
    <t>Tipo de serviço</t>
  </si>
  <si>
    <t>Valor Proposto por empregado</t>
  </si>
  <si>
    <t>Quant. de Empregado por posto</t>
  </si>
  <si>
    <t>Valor Proposto por posto</t>
  </si>
  <si>
    <t>Qt.de Postos</t>
  </si>
  <si>
    <t>Subtotal ( R$ )</t>
  </si>
  <si>
    <t>( B )</t>
  </si>
  <si>
    <t xml:space="preserve">  ( C)</t>
  </si>
  <si>
    <t>(D) = (B x C)</t>
  </si>
  <si>
    <t>( E )</t>
  </si>
  <si>
    <t>(F) = (D x E)</t>
  </si>
  <si>
    <t>I</t>
  </si>
  <si>
    <t>QUADRO DEMONSTRATIVO DO VALOR MENSAL DA PROPOSTA</t>
  </si>
  <si>
    <t>DESCRIÇÃO</t>
  </si>
  <si>
    <t>VALOR (R$)</t>
  </si>
  <si>
    <t>Valor Proposto por Unidade de Medida</t>
  </si>
  <si>
    <t>Valor Mensal do Serviço</t>
  </si>
  <si>
    <t>Valor Global da Proposta ( Valor Mensal do Serviço Mutiplicado pelo numero de meses do contrato</t>
  </si>
  <si>
    <t>CAMPUS PICOS</t>
  </si>
  <si>
    <t>CARGO</t>
  </si>
  <si>
    <t>UNIDADE DE MEDIDA</t>
  </si>
  <si>
    <t>QUANT. DE POSTOS</t>
  </si>
  <si>
    <t>QUANT. PROF. POR POSTO</t>
  </si>
  <si>
    <t>QUANT. TOTAL DE PROFISSIONAIS</t>
  </si>
  <si>
    <t>VIGILÂNCIA ARMADA 24 HORAS (ESCALA12X36)</t>
  </si>
  <si>
    <t>POSTO</t>
  </si>
  <si>
    <t xml:space="preserve">CONVENÇÃO COLETIVA DE TRABALHO </t>
  </si>
  <si>
    <r>
      <rPr>
        <sz val="12"/>
        <color theme="1"/>
        <rFont val="Arial"/>
        <family val="2"/>
      </rPr>
      <t>N</t>
    </r>
    <r>
      <rPr>
        <strike/>
        <sz val="12"/>
        <color indexed="8"/>
        <rFont val="Arial"/>
        <family val="2"/>
      </rPr>
      <t>º</t>
    </r>
    <r>
      <rPr>
        <sz val="12"/>
        <color indexed="8"/>
        <rFont val="Arial"/>
        <family val="2"/>
      </rPr>
      <t xml:space="preserve"> de meses de execução contratual</t>
    </r>
  </si>
  <si>
    <t>Submódulo 2.4 - Intervalo Intrajornada do Titular</t>
  </si>
  <si>
    <t>2.4</t>
  </si>
  <si>
    <t xml:space="preserve"> Intervalo Intrajornada do Titular</t>
  </si>
  <si>
    <t>Unidade</t>
  </si>
  <si>
    <t>Valor unit</t>
  </si>
  <si>
    <t xml:space="preserve"> Intervalo Intrajornada Diurno</t>
  </si>
  <si>
    <t xml:space="preserve">Total Submódulo 2.4 </t>
  </si>
  <si>
    <r>
      <rPr>
        <sz val="12"/>
        <color rgb="FFFF0000"/>
        <rFont val="Calibri"/>
        <family val="2"/>
        <scheme val="minor"/>
      </rPr>
      <t xml:space="preserve">Salário Base - </t>
    </r>
    <r>
      <rPr>
        <sz val="12"/>
        <color rgb="FFFF0000"/>
        <rFont val="Calibri"/>
        <family val="2"/>
      </rPr>
      <t>(Cláusula 3ª da CCT)</t>
    </r>
  </si>
  <si>
    <t>PLANILHA DE CUSTOS E FORMAÇÃO DE PREÇOS</t>
  </si>
  <si>
    <t xml:space="preserve">MODELO DE FORMAÇÃO DE CUSTO MENSAL PARA UM EMPREGADO </t>
  </si>
  <si>
    <t>* A planilha de custos e formação de preços é ferramenta de apoio à realização de estimativas da contratação e para a análise das propostas na fase de pregão e nas prorrogações contratuais.
* O modelo disponibilizado na Instrução Normativa n° 5, de 26 de maio de 2017, é inspiracional, devendo ser adaptado pelo órgão ou entidade contratante às suas necessidades.
* A presente proposta visa, tão somente, auxiliar aos órgão que não possuam um modelo definido na formatação dos cálculos de direitos trabalhistas para estimativas de contratos de prestação de serviços, observando as disposições da Consolidação das Leis do Trabalho - CLT e das Convenções Coletivas de Trabalho - CCT (sendo válidos, ainda, os acordos e dissídios coletivos).
* É responsábilidade do usuário que optar pela utilização deste modelo a conferência das fórmulas automatizadas em conformidade com as dispoções de CLT e CCT, para minimizar o risco de equívocos no cômputo das previsões financeiras.
* Dúvidas sobre a metodologia de cálculo poderão ser esclarecidas com a leitura dos Cadernos Técnicos de divulgação de valores limites em: https://www.comprasgovernamentais.gov.br/index.php/cadernos-tecnicos-e-valores-limites.</t>
  </si>
  <si>
    <t>MÓDULO 1 - REMUNERAÇÃO</t>
  </si>
  <si>
    <t>* A remuneração é definida no art. 457 da Consolidação das Leis do Trabalho. 
* É composta por Salário Base, Adicionais (noturno, de insalubridade ou periculosidade) e gratificações, quando houver.</t>
  </si>
  <si>
    <t>SALÁRIO BASE</t>
  </si>
  <si>
    <t>* O Salário Base vem definido na Convenção Coletiva de Trabalho da categoria profissional a ser contratada para o objeto da prestação de serviço. 
* O contratante deverá observar se a CCT abrange o município de prestação de serviço e se está vigente.</t>
  </si>
  <si>
    <t>Cargo A (VIGILANTE)</t>
  </si>
  <si>
    <t>Cargo B</t>
  </si>
  <si>
    <t>GRATIFICAÇÃO DE FUNÇÃO</t>
  </si>
  <si>
    <t>* Gratificação de função, quando houver, virá informada na Convenção Coletiva de Trabalho da categoria profissional a ser contratada. 
* O órgão contrantante deverá observar, além da existência de gratificação, se esta incidirá sobre os adicionais, devendo adaptar a planilha ao caso em concreto.
*  Para o presente modelo foi considerada gratificação como percentual sobre o salário base e sem incidência sobre os adicionais (noturno, periculosidade ou insalubridade).</t>
  </si>
  <si>
    <t>Categoria</t>
  </si>
  <si>
    <t>Base de cálculo</t>
  </si>
  <si>
    <t>Percentual</t>
  </si>
  <si>
    <t>Valor da Gratificação</t>
  </si>
  <si>
    <t>Cargo A</t>
  </si>
  <si>
    <t>ADICIONAIS (periculosidade ou insalubridade, se houver)</t>
  </si>
  <si>
    <t xml:space="preserve">* Os adicionais de periculosidade ou insalubridade, em conformidade com os art. 192 e 193 da CLT, dependem da natureza do serviço a ser prestado. 
* O órgão contrantante deverá observar, além da existência de previsão em CLT, se há informações na Convenção Coletiva de Trabalho acerca dos adicionais, bem como seu percentual e a base de cálculo, devendo adaptar a planilha ao caso em concreto. </t>
  </si>
  <si>
    <t>ADICIONAL DE XXX</t>
  </si>
  <si>
    <t>Cargo A (12x36 Diurno)</t>
  </si>
  <si>
    <t>Cargo A (12x36 Noturno)</t>
  </si>
  <si>
    <t>Cargo A Cargo A (44h semanais)</t>
  </si>
  <si>
    <t>Cargo B (12x36 Diurno)</t>
  </si>
  <si>
    <t>Cargo B (12x36 Noturno)</t>
  </si>
  <si>
    <t>Cargo B (44h semanais)</t>
  </si>
  <si>
    <t>ADICIONAL NOTURNO</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</si>
  <si>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</si>
  <si>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t>Base de Cálculo</t>
  </si>
  <si>
    <t>Proporção</t>
  </si>
  <si>
    <t>HORA NOTURNA REDUZIDA</t>
  </si>
  <si>
    <t>ADICIONAL POR TRABALHO NOTURNO</t>
  </si>
  <si>
    <t>Adicional Noturno</t>
  </si>
  <si>
    <t>Hora Noturna
Reduzida</t>
  </si>
  <si>
    <t>ADICIONAL XXX</t>
  </si>
  <si>
    <t>* Em caso de previsão de outros adicionais em Convenção Coletiva de Trabalho o órgão poderá utilizar este campo.</t>
  </si>
  <si>
    <t>Cargo A (44h semanais)</t>
  </si>
  <si>
    <t>Este quadro totaliza a remuneração devida ao trabalhador, conforme previsão da Consolidação das Leis do Trabalho e valores disponíveis na Convenção Coletiva para a categoria</t>
  </si>
  <si>
    <t>Salário Base</t>
  </si>
  <si>
    <t>Gratificação de função</t>
  </si>
  <si>
    <t>Adicional de Periculosidade ou Insalubridade</t>
  </si>
  <si>
    <t>Adicional XXX</t>
  </si>
  <si>
    <t>Total</t>
  </si>
  <si>
    <t>MÓDULO 2 - ENCARGOS E BENEFÍCIOS (ANUAIS, MENSAIS E DIÁRIOS)</t>
  </si>
  <si>
    <t>SUBMÓDULO 2.1 – 13° SALÁRIO, FÉRIAS E ADICIONAL DE FÉRIAS</t>
  </si>
  <si>
    <t>13° SALÁRIO
Previsto no Decreto 57.155, de 1965.</t>
  </si>
  <si>
    <t>Provisionamento Mensal</t>
  </si>
  <si>
    <t>FÉRIAS
Previsto no art. 7° da Constituição Federal</t>
  </si>
  <si>
    <t>ADICIONAL DE FÉRIAS - 1/3 CONSTITUCIONAL</t>
  </si>
  <si>
    <t>Alíquota Adicional</t>
  </si>
  <si>
    <t>13° Salário</t>
  </si>
  <si>
    <t xml:space="preserve">Férias </t>
  </si>
  <si>
    <t>1/3 Constitucional</t>
  </si>
  <si>
    <t>SUBMÓDULO 2.2 - ENCARGOS PREVIDENCIÁRIOS E FGTS</t>
  </si>
  <si>
    <t>* Previsto no art. 195 da Constituição Federal. 
* Os percentuais informados não são taxativos e deverão observar o enquadramento real das empresas prestadoras de serviço, em especial no que diz respeito ao SAT-GIIL/RAT.</t>
  </si>
  <si>
    <t>COMPOSIÇÃO DO GPS E FGTS</t>
  </si>
  <si>
    <t>Encargos</t>
  </si>
  <si>
    <t>INSS - empregador</t>
  </si>
  <si>
    <t>Salário-Educação</t>
  </si>
  <si>
    <t>SAT- GIL/RAT</t>
  </si>
  <si>
    <t>SESC</t>
  </si>
  <si>
    <t>SENAC</t>
  </si>
  <si>
    <t>GPS - GUIA DA PREVIDÊNCIA SOCIAL</t>
  </si>
  <si>
    <t>FGTS - FUNDO DE GARANTIA POR TEMPO DE SERVIÇO</t>
  </si>
  <si>
    <t>GPS</t>
  </si>
  <si>
    <t>SUBMÓDULO 2.3 - BENEFÍCIOS MENSAIS E DIÁRIOS</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</si>
  <si>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</si>
  <si>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VALE TRANSPORTE</t>
  </si>
  <si>
    <t>CUSTO DA PASSAGEM</t>
  </si>
  <si>
    <t>Vr. Unitário</t>
  </si>
  <si>
    <t xml:space="preserve">Vales por dia </t>
  </si>
  <si>
    <t>Dias efetivamente trabalhados</t>
  </si>
  <si>
    <t>Custo total</t>
  </si>
  <si>
    <t>DESCONTO DO VALE TRANSPORTE</t>
  </si>
  <si>
    <t>Proporcionalidade</t>
  </si>
  <si>
    <t>Desconto</t>
  </si>
  <si>
    <t>CUSTO EFETIVO DO VALE TRANSPORTE</t>
  </si>
  <si>
    <t>Valor do desconto</t>
  </si>
  <si>
    <t>Custo efetivo</t>
  </si>
  <si>
    <t>VALE ALIMENTAÇÃO/REFEIÇÃO</t>
  </si>
  <si>
    <t>Valor diário</t>
  </si>
  <si>
    <t>DESCONTO DO VALE ALIMENTAÇÃO/REFEIÇÃO</t>
  </si>
  <si>
    <t>CUSTO EFETIVO DO VALE ALIMENTAÇÃO/REFEIÇÃO</t>
  </si>
  <si>
    <r>
      <rPr>
        <b/>
        <sz val="12"/>
        <color theme="1"/>
        <rFont val="Times New Roman"/>
        <family val="1"/>
      </rPr>
      <t>BENEFÍCIO XXX</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</si>
  <si>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BENEFÍCIO xxx</t>
  </si>
  <si>
    <r>
      <rPr>
        <b/>
        <sz val="12"/>
        <color theme="1"/>
        <rFont val="Times New Roman"/>
        <family val="1"/>
      </rPr>
      <t>BENEFÍCIO YYY</t>
    </r>
    <r>
      <rPr>
        <sz val="12"/>
        <color theme="1"/>
        <rFont val="Times New Roman"/>
        <family val="1"/>
      </rPr>
      <t xml:space="preserve">
</t>
    </r>
    <r>
      <rPr>
        <sz val="12"/>
        <color rgb="FFFF0000"/>
        <rFont val="Times New Roman"/>
        <family val="1"/>
      </rPr>
      <t>Utilizar este campo em caso de outros benefícios previstos em Convenção Coletiva, sempre especificando o tipo, finalidade e previsão legal do mesmo.</t>
    </r>
  </si>
  <si>
    <t>BENEFÍCIO yyy</t>
  </si>
  <si>
    <t>Vale Transporte</t>
  </si>
  <si>
    <t>Vale Refeição</t>
  </si>
  <si>
    <t>Benefício x</t>
  </si>
  <si>
    <t>Benefício y</t>
  </si>
  <si>
    <t>Submódulo 2.1</t>
  </si>
  <si>
    <t>Submódulo 2.2</t>
  </si>
  <si>
    <t>Submódulo 2.3</t>
  </si>
  <si>
    <t>MÓDULO 3 - PROVISÃO PARA RESCISÃO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</si>
  <si>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</si>
  <si>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</si>
  <si>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</si>
  <si>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</si>
  <si>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</si>
  <si>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</si>
  <si>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</si>
  <si>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</si>
  <si>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</si>
  <si>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</si>
  <si>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AVISO PRÉVIO INDENIZADO</t>
  </si>
  <si>
    <t>MULTA DO FGTS E CONTRIBUIÇÃO SOCIAL SOBRE O AVISO PRÉVIO INDENIZADO</t>
  </si>
  <si>
    <t>Percentual da 
Multa</t>
  </si>
  <si>
    <t>SUBMÓDULO 3.1 - CUSTO DO AVISO PRÉVIO INDENIZADO</t>
  </si>
  <si>
    <t>SUBMÓDULO 3.2 - AVISO PRÉVIO TRABALHADO</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</si>
  <si>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</si>
  <si>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AVISO PRÉVIO TRABALHADO</t>
  </si>
  <si>
    <t>MULTA DO FGTS E CONTRIBUIÇÃO SOCIAL SOBRE O AVISO PRÉVIO TRABALHADO</t>
  </si>
  <si>
    <t>SUBMÓDULO 3.2 - CUSTO DO AVISO PRÉVIO TRABALHADO</t>
  </si>
  <si>
    <t>SUBMÓDULO 3.3 - DEMISSÃO POR JUSTA CAUSA</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</si>
  <si>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</si>
  <si>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BASE DE CÁLCULO PARA DEMISSÃO POR JUSTA CAUSA</t>
  </si>
  <si>
    <t>Valor provisionado do 13º Salário</t>
  </si>
  <si>
    <t>Valor provisionado das Férias</t>
  </si>
  <si>
    <t>Valor provisionado do Adicional de Férias</t>
  </si>
  <si>
    <t>SUBMÓDULO 3.3 - CUSTO DA DEMISSÃO COM JUSTA CAUSA</t>
  </si>
  <si>
    <t>Submódulo 3.1</t>
  </si>
  <si>
    <t>Submódulo 3.2</t>
  </si>
  <si>
    <t>Submódulo 3.3</t>
  </si>
  <si>
    <t>MÓDULO 4 - CUSTO DE REPOSIÇÃO DO PROFISSIONAL AUSENTE</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</si>
  <si>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Na metodologia Seges utiliza-se uma probabilidade de ocorrência, mediante estatísticas da Relação Anual de Informações Sociais-2016 (RAIS/MTE), da Pesquisa Nacional por Amostra de Domicílios-2016 (PNAD/IBGE), do Registro Civil (IBGE)-2016.
* São computados, então, a probabilidade de dias de ausência para cobertura, conforme escala de trabalho mensal.
* Para jornadas jornadas 12x36h a necessidade de reposição incide somente em 50% do dias de ausência devido à escala. 
* Na jornada 44h computa-se somente a reposição nos dias úteis, portanto, 69,04% da ausência total.</t>
  </si>
  <si>
    <t>Porobabilidade de ocorrência de ausências legais, conforme previsão do art. 473 da Consolidação das Leis do Trabalho.</t>
  </si>
  <si>
    <t xml:space="preserve">Memória de Cálculo - número de dias de reposição do profissional ausente para cada evento </t>
  </si>
  <si>
    <t>Incidencia anual</t>
  </si>
  <si>
    <t>Duração Legal  
da Ausência</t>
  </si>
  <si>
    <t>12x36</t>
  </si>
  <si>
    <t>44h</t>
  </si>
  <si>
    <t>Proporção dias afetados</t>
  </si>
  <si>
    <t>Dias de reposição</t>
  </si>
  <si>
    <t>Férias</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</si>
  <si>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</si>
  <si>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</si>
  <si>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</si>
  <si>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</si>
  <si>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</si>
  <si>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</si>
  <si>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</si>
  <si>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</si>
  <si>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</si>
  <si>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</si>
  <si>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</si>
  <si>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ESTIMATIVA DA NECESSIDADE DE REPOSIÇÃO DE PROFISSIONAL</t>
  </si>
  <si>
    <t>Composição</t>
  </si>
  <si>
    <t>ESCALAS -  Cargo A</t>
  </si>
  <si>
    <t xml:space="preserve"> 12 x 36 D</t>
  </si>
  <si>
    <t>12 x 36 N</t>
  </si>
  <si>
    <t>44 SEM</t>
  </si>
  <si>
    <t>Total Para reposição</t>
  </si>
  <si>
    <t>SUBMÓDULO 4.1 - AUSÊNCIAS LEGAIS</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</si>
  <si>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</si>
  <si>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CUSTO DIÁRIO PARA O REPOSITOR</t>
  </si>
  <si>
    <t>Divisor do dia</t>
  </si>
  <si>
    <t>Custo diário</t>
  </si>
  <si>
    <t>Necessidade de Reposição</t>
  </si>
  <si>
    <t>Custo anual</t>
  </si>
  <si>
    <t>Custo mensal</t>
  </si>
  <si>
    <t>SUBMÓDULO 4.2 - INTRAJORNADA</t>
  </si>
  <si>
    <t>* O submódulo 4.2 destina-se a calcular o custo de um repositor para cobertura do tempo de concessão do intervalo para repouso e alimentação, previsto no art. 71 da Consolidação das Leis do Trabalho, ao empregado residente. 
* Na metodologia Seges, calcula-se o custo da hora de trabalho e multiplica-se pela necessidade de horas de cobertura no mês. 
* Por tratar-se de condição excepcional, dependerá de decisão do órgão contratante, bem como de disposições constantes da Convenção Coletiva quanto ao tempo de intervalo e ao adicional para pagamento.
* Não se computa custo de reposição intrajornada para supervisores por considerar que estes não realizam a cobertura de posto de trabalho e poderiam se ausentar durante o tempo previsto em lei, definição que também deverá ser objeto de apreciação pelos órgãos contratantes.</t>
  </si>
  <si>
    <t>CUSTO POR HORA DO REPOSITOR</t>
  </si>
  <si>
    <t>divisor de hora</t>
  </si>
  <si>
    <t>Valor da hora</t>
  </si>
  <si>
    <t>Necessidade de Reposição (horas)</t>
  </si>
  <si>
    <t>Submódulo 4.1</t>
  </si>
  <si>
    <t>Submódulo 4.2</t>
  </si>
  <si>
    <t>MÓDULO 5 - INSUMOS DE MÃO DE OBRA</t>
  </si>
  <si>
    <t xml:space="preserve">UNIFORMES - COMPOSIÇÃO - VALOR ANUAL </t>
  </si>
  <si>
    <t>Item</t>
  </si>
  <si>
    <t>qte</t>
  </si>
  <si>
    <t>Vr. Unitario</t>
  </si>
  <si>
    <t>Calça</t>
  </si>
  <si>
    <t>Camisa</t>
  </si>
  <si>
    <t>Sapato</t>
  </si>
  <si>
    <t>especificar demais itens</t>
  </si>
  <si>
    <t xml:space="preserve">Custo anual por Pessoa  </t>
  </si>
  <si>
    <t>UNIFORMES</t>
  </si>
  <si>
    <t xml:space="preserve">Custo mensal </t>
  </si>
  <si>
    <t xml:space="preserve">Equipamentos  </t>
  </si>
  <si>
    <t>Cotação</t>
  </si>
  <si>
    <t>Duração dos itens 
(vida útil)</t>
  </si>
  <si>
    <t>12x36 h</t>
  </si>
  <si>
    <t>44 horas</t>
  </si>
  <si>
    <t xml:space="preserve">Valor total </t>
  </si>
  <si>
    <t>CUSTO MENSAL DOS EQUIPAMENTOS</t>
  </si>
  <si>
    <t>Valor por empregado</t>
  </si>
  <si>
    <t>Custo com Uniformes</t>
  </si>
  <si>
    <t>Custo com Equipamentos</t>
  </si>
  <si>
    <t>MÓDULO 6 - CUSTOS INDIRETOS, TRIBUTOS E LUCRO</t>
  </si>
  <si>
    <t>INFORMAÇÃO DE PERCENTUAIS ESTIMADOS DE CITL</t>
  </si>
  <si>
    <t>Lucro</t>
  </si>
  <si>
    <t>RATEIO DO Cargo B</t>
  </si>
  <si>
    <t>* Para os casos em que há Supervisor e este não for contratado como um posto de trabalho, a exemplo dos serviços de vigilância patrimonial, seu custo deverá ser rateado pelo total de empregados supervisionados, conforme disposição do Anexo VII-D da Insrução Normativa n° 5, de 2017.</t>
  </si>
  <si>
    <t>RATEIO DA CHEFIA DE CAMPO</t>
  </si>
  <si>
    <t>Subordinados</t>
  </si>
  <si>
    <t>CUSTO DO TRABALHADOR</t>
  </si>
  <si>
    <t>CUSTO TOTAL POR TRABALHADOR</t>
  </si>
  <si>
    <t>Módulo</t>
  </si>
  <si>
    <t>12x36 Diurno</t>
  </si>
  <si>
    <t>12x36 Noturno</t>
  </si>
  <si>
    <t>44h Semanais</t>
  </si>
  <si>
    <t>Remuneração</t>
  </si>
  <si>
    <t>Encargos e Benefícios</t>
  </si>
  <si>
    <t>Rescisão</t>
  </si>
  <si>
    <t>Reposição do Profissional Ausente</t>
  </si>
  <si>
    <t>Rateio da Chefia de Campo</t>
  </si>
  <si>
    <t>Valor por Empregado</t>
  </si>
  <si>
    <t>Valor por Posto</t>
  </si>
  <si>
    <t>N R NO MTE: PI000002/2022</t>
  </si>
  <si>
    <t>CCT-2022</t>
  </si>
  <si>
    <t xml:space="preserve">SINDICATO DOS EMPREGADOS DE EMPRESAS DE SEGURANCA, VIGILANCIA E SERVICOS ORGANICOS DE SEGURANCA DO ESTADO DO PIAUI, CNPJ n. 07.471.774/0001-40, neste ato representado(a) por seu Presidente, Sr(a). ANDRE DE SOUSA LIMA  As partes fixam a vigência da presente Convenção Coletiva de Trabalho no período de 01º de janeiro de 2022 a 31 de dezembro de 2022 e a data-base da categoria em 01º de janeiro. </t>
  </si>
  <si>
    <t xml:space="preserve">01/01/2022 A 31/01/2022 - 30 DIAS </t>
  </si>
  <si>
    <t>01/02/2022 A 04/02/2022 - 4 DIAS</t>
  </si>
  <si>
    <t xml:space="preserve">CAMPUS PICOS </t>
  </si>
  <si>
    <t>N R NO MTE: PI000021/2023</t>
  </si>
  <si>
    <t xml:space="preserve">SINDICATO DOS EMPREGADOS DE EMPRESAS DE SEGURANCA, VIGILANCIA E SERVICOS ORGANICOS DE SEGURANCA DO ESTADO DO PIAUI, CNPJ n. 07.471.774/0001-40, neste ato representado(a) por seu Presidente, Sr(a). ANDRE DE SOUSA LIMA  As partes fixam a vigência da presente Convenção Coletiva de Trabalho no período de 01º de janeiro de 2023 a 31 de dezembro de 2023 e a data-base da categoria em 01º de janeiro. </t>
  </si>
  <si>
    <t>CCT-2023</t>
  </si>
  <si>
    <t>VALOR PROPORCIONAL - 60 DIAS</t>
  </si>
  <si>
    <t>1° MARCO TEMPORAL -  SALÁRIO + PS (01/01/2023 A 28/02/2023) 60 DIAS</t>
  </si>
  <si>
    <t>VALOR DO POSTO APÓS REPACTUAÇÃO 2023</t>
  </si>
  <si>
    <t>VALOR MENSAL DOS POSTOS APÓS REPACTUAÇÃO 2023</t>
  </si>
  <si>
    <t>2° MARCO TEMPORAL -  SALÁRIO + PS + VA  (01/03/2023  A 31/12/2023) 300 DIAS</t>
  </si>
  <si>
    <t>VALOR PROPORCIONAL -300 DIAS</t>
  </si>
  <si>
    <t>VALOR ANUAL DO CONTRATO APÓS A REPACTUAÇÃO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</si>
</sst>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R$&quot;\ #,##0.00;\-&quot;R$&quot;\ #,##0.00"/>
    <numFmt numFmtId="8" formatCode="&quot;R$&quot;\ #,##0.00;[Red]\-&quot;R$&quot;\ #,##0.00"/>
    <numFmt numFmtId="44" formatCode="_-&quot;R$&quot;\ * #,##0.00_-;\-&quot;R$&quot;\ * #,##0.00_-;_-&quot;R$&quot;\ * &quot;-&quot;??_-;_-@_-"/>
    <numFmt numFmtId="43" formatCode="_-* #,##0.00_-;\-* #,##0.00_-;_-* &quot;-&quot;??_-;_-@_-"/>
    <numFmt numFmtId="164" formatCode="#,##0.00;[Red]#,##0.00"/>
    <numFmt numFmtId="165" formatCode="_(* #,##0.00_);_(* \(#,##0.00\);_(* \-??_);_(@_)"/>
    <numFmt numFmtId="166" formatCode="#,##0.0000_ ;\-#,##0.0000\ "/>
    <numFmt numFmtId="167" formatCode="0.0000"/>
    <numFmt numFmtId="168" formatCode="00"/>
    <numFmt numFmtId="169" formatCode="0.00;[Red]0.00"/>
    <numFmt numFmtId="170" formatCode="&quot;R$&quot;\ #,##0.00"/>
    <numFmt numFmtId="171" formatCode="&quot;R$&quot;#,##0.00;[Red]\-&quot;R$&quot;#,##0.00"/>
    <numFmt numFmtId="172" formatCode="0.000%"/>
  </numFmts>
  <fonts count="60">
    <font>
      <sz val="11"/>
      <color theme="1"/>
      <name val="Calibri"/>
      <charset val="134"/>
      <scheme val="minor"/>
    </font>
    <font>
      <sz val="12"/>
      <color theme="1"/>
      <name val="Times New Roman"/>
      <family val="1"/>
    </font>
    <font>
      <sz val="18"/>
      <color theme="0"/>
      <name val="Times New Roman"/>
      <family val="1"/>
    </font>
    <font>
      <sz val="12"/>
      <color rgb="FFFF0000"/>
      <name val="Times New Roman"/>
      <family val="1"/>
    </font>
    <font>
      <b/>
      <sz val="12"/>
      <color theme="1"/>
      <name val="Times New Roman"/>
      <family val="1"/>
    </font>
    <font>
      <b/>
      <sz val="12"/>
      <color rgb="FFFF0000"/>
      <name val="Times New Roman"/>
      <family val="1"/>
    </font>
    <font>
      <sz val="12"/>
      <name val="Times New Roman"/>
      <family val="1"/>
    </font>
    <font>
      <b/>
      <sz val="12"/>
      <name val="Times New Roman"/>
      <family val="1"/>
    </font>
    <font>
      <b/>
      <sz val="12"/>
      <color indexed="8"/>
      <name val="Times New Roman"/>
      <family val="1"/>
    </font>
    <font>
      <sz val="12"/>
      <color indexed="8"/>
      <name val="Times New Roman"/>
      <family val="1"/>
    </font>
    <font>
      <b/>
      <sz val="12"/>
      <color rgb="FF00B050"/>
      <name val="Times New Roman"/>
      <family val="1"/>
    </font>
    <font>
      <sz val="12"/>
      <color theme="1"/>
      <name val="Arial"/>
      <family val="2"/>
    </font>
    <font>
      <b/>
      <sz val="12"/>
      <color theme="1"/>
      <name val="Arial"/>
      <family val="2"/>
    </font>
    <font>
      <b/>
      <sz val="12"/>
      <color rgb="FF000000"/>
      <name val="Arial"/>
      <family val="2"/>
    </font>
    <font>
      <b/>
      <sz val="11"/>
      <color rgb="FF000000"/>
      <name val="Times New Roman"/>
      <family val="1"/>
    </font>
    <font>
      <sz val="12"/>
      <color theme="0"/>
      <name val="Calibri"/>
      <family val="2"/>
      <scheme val="minor"/>
    </font>
    <font>
      <sz val="12"/>
      <color theme="1"/>
      <name val="Calibri"/>
      <family val="2"/>
      <scheme val="minor"/>
    </font>
    <font>
      <sz val="12"/>
      <color rgb="FF000000"/>
      <name val="Arial"/>
      <family val="2"/>
    </font>
    <font>
      <sz val="11"/>
      <color theme="1"/>
      <name val="Times New Roman"/>
      <family val="1"/>
    </font>
    <font>
      <b/>
      <sz val="12"/>
      <color theme="1"/>
      <name val="Calibri"/>
      <family val="2"/>
      <scheme val="minor"/>
    </font>
    <font>
      <b/>
      <sz val="12"/>
      <name val="Calibri"/>
      <family val="2"/>
      <scheme val="minor"/>
    </font>
    <font>
      <sz val="12"/>
      <name val="Calibri"/>
      <family val="2"/>
      <scheme val="minor"/>
    </font>
    <font>
      <b/>
      <sz val="11"/>
      <color theme="1"/>
      <name val="Arial"/>
      <family val="2"/>
    </font>
    <font>
      <sz val="11"/>
      <color theme="1"/>
      <name val="Arial"/>
      <family val="2"/>
    </font>
    <font>
      <sz val="11"/>
      <name val="Arial"/>
      <family val="2"/>
    </font>
    <font>
      <sz val="12"/>
      <name val="Arial"/>
      <family val="2"/>
    </font>
    <font>
      <sz val="9"/>
      <name val="Arial"/>
      <family val="2"/>
    </font>
    <font>
      <sz val="11"/>
      <name val="Calibri"/>
      <family val="2"/>
      <scheme val="minor"/>
    </font>
    <font>
      <sz val="12"/>
      <color rgb="FFFF0000"/>
      <name val="Calibri"/>
      <family val="2"/>
      <scheme val="minor"/>
    </font>
    <font>
      <b/>
      <sz val="12"/>
      <name val="Arial"/>
      <family val="2"/>
    </font>
    <font>
      <sz val="10"/>
      <color theme="1"/>
      <name val="Times New Roman"/>
      <family val="1"/>
    </font>
    <font>
      <sz val="10"/>
      <name val="Times New Roman"/>
      <family val="1"/>
    </font>
    <font>
      <sz val="10"/>
      <color rgb="FFFF0000"/>
      <name val="Times New Roman"/>
      <family val="1"/>
    </font>
    <font>
      <sz val="10"/>
      <color theme="1"/>
      <name val="Calibri"/>
      <family val="2"/>
      <scheme val="minor"/>
    </font>
    <font>
      <sz val="10"/>
      <name val="Calibri"/>
      <family val="2"/>
      <scheme val="minor"/>
    </font>
    <font>
      <b/>
      <sz val="11"/>
      <color theme="1"/>
      <name val="Calibri"/>
      <family val="2"/>
      <scheme val="minor"/>
    </font>
    <font>
      <sz val="12"/>
      <color indexed="8"/>
      <name val="Calibri"/>
      <family val="2"/>
      <scheme val="minor"/>
    </font>
    <font>
      <b/>
      <i/>
      <sz val="12"/>
      <color theme="1"/>
      <name val="Calibri"/>
      <family val="2"/>
      <scheme val="minor"/>
    </font>
    <font>
      <i/>
      <sz val="12"/>
      <color theme="1"/>
      <name val="Calibri"/>
      <family val="2"/>
      <scheme val="minor"/>
    </font>
    <font>
      <i/>
      <sz val="12"/>
      <color theme="0"/>
      <name val="Calibri"/>
      <family val="2"/>
      <scheme val="minor"/>
    </font>
    <font>
      <b/>
      <sz val="12"/>
      <color theme="0"/>
      <name val="Calibri"/>
      <family val="2"/>
      <scheme val="minor"/>
    </font>
    <font>
      <sz val="11"/>
      <color rgb="FFFF0000"/>
      <name val="Times New Roman"/>
      <family val="1"/>
    </font>
    <font>
      <sz val="11"/>
      <name val="Times New Roman"/>
      <family val="1"/>
    </font>
    <font>
      <sz val="11"/>
      <color rgb="FF000000"/>
      <name val="Times New Roman"/>
      <family val="1"/>
    </font>
    <font>
      <b/>
      <sz val="11"/>
      <color theme="1"/>
      <name val="Times New Roman"/>
      <family val="1"/>
    </font>
    <font>
      <b/>
      <sz val="15"/>
      <name val="Times New Roman"/>
      <family val="1"/>
    </font>
    <font>
      <sz val="12"/>
      <color rgb="FF000000"/>
      <name val="Times New Roman"/>
      <family val="1"/>
    </font>
    <font>
      <sz val="10"/>
      <name val="Arial"/>
      <family val="2"/>
    </font>
    <font>
      <strike/>
      <sz val="12"/>
      <color indexed="8"/>
      <name val="Arial"/>
      <family val="2"/>
    </font>
    <font>
      <sz val="12"/>
      <color indexed="8"/>
      <name val="Arial"/>
      <family val="2"/>
    </font>
    <font>
      <sz val="12"/>
      <color rgb="FFFF0000"/>
      <name val="Calibri"/>
      <family val="2"/>
    </font>
    <font>
      <sz val="12"/>
      <color indexed="8"/>
      <name val="Calibri"/>
      <family val="2"/>
    </font>
    <font>
      <b/>
      <sz val="9"/>
      <name val="Segoe UI"/>
      <family val="2"/>
    </font>
    <font>
      <sz val="9"/>
      <name val="Segoe UI"/>
      <family val="2"/>
    </font>
    <font>
      <sz val="11"/>
      <color theme="1"/>
      <name val="Calibri"/>
      <family val="2"/>
      <scheme val="minor"/>
    </font>
    <font>
      <b/>
      <sz val="12"/>
      <color theme="1"/>
      <name val="Times New Roman"/>
      <family val="1"/>
    </font>
    <font>
      <sz val="10"/>
      <color rgb="FFFF0000"/>
      <name val="Times New Roman"/>
      <family val="1"/>
    </font>
    <font>
      <b/>
      <sz val="12"/>
      <color theme="1"/>
      <name val="Arial"/>
      <family val="2"/>
    </font>
    <font>
      <sz val="12"/>
      <color rgb="FFFF0000"/>
      <name val="Calibri"/>
      <family val="2"/>
      <scheme val="minor"/>
    </font>
    <font>
      <b/>
      <sz val="18"/>
      <color theme="1"/>
      <name val="Arial"/>
      <family val="2"/>
    </font>
  </fonts>
  <fills count="17">
    <fill>
      <patternFill patternType="none"/>
    </fill>
    <fill>
      <patternFill patternType="gray125"/>
    </fill>
    <fill>
      <patternFill patternType="solid">
        <fgColor theme="4" tint="-0.249977111117893"/>
        <bgColor indexed="64"/>
      </patternFill>
    </fill>
    <fill>
      <patternFill patternType="solid">
        <fgColor theme="4" tint="0.39991454817346722"/>
        <bgColor indexed="64"/>
      </patternFill>
    </fill>
    <fill>
      <patternFill patternType="solid">
        <fgColor rgb="FFFF0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1454817346722"/>
        <bgColor indexed="64"/>
      </patternFill>
    </fill>
    <fill>
      <patternFill patternType="solid">
        <fgColor theme="0"/>
        <bgColor indexed="64"/>
      </patternFill>
    </fill>
    <fill>
      <patternFill patternType="solid">
        <fgColor theme="4" tint="0.39991454817346722"/>
        <bgColor indexed="41"/>
      </patternFill>
    </fill>
    <fill>
      <patternFill patternType="solid">
        <fgColor theme="5" tint="0.79992065187536243"/>
        <bgColor indexed="64"/>
      </patternFill>
    </fill>
    <fill>
      <patternFill patternType="solid">
        <fgColor theme="4" tint="0.39991454817346722"/>
        <bgColor indexed="26"/>
      </patternFill>
    </fill>
    <fill>
      <patternFill patternType="solid">
        <fgColor theme="0" tint="-4.9989318521683403E-2"/>
        <bgColor indexed="64"/>
      </patternFill>
    </fill>
    <fill>
      <patternFill patternType="solid">
        <fgColor rgb="FFFFFF00"/>
        <bgColor indexed="64"/>
      </patternFill>
    </fill>
    <fill>
      <patternFill patternType="solid">
        <fgColor theme="0" tint="-0.14993743705557422"/>
        <bgColor indexed="64"/>
      </patternFill>
    </fill>
    <fill>
      <patternFill patternType="solid">
        <fgColor theme="3" tint="0.59999389629810485"/>
        <bgColor indexed="64"/>
      </patternFill>
    </fill>
    <fill>
      <patternFill patternType="solid">
        <fgColor rgb="FFFFFF00"/>
        <bgColor indexed="64"/>
      </patternFill>
    </fill>
  </fills>
  <borders count="65">
    <border>
      <left/>
      <right/>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8"/>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41">
    <xf numFmtId="0" fontId="0" fillId="0" borderId="0"/>
    <xf numFmtId="43" fontId="54" fillId="0" borderId="0" applyFont="0" applyFill="0" applyBorder="0" applyAlignment="0" applyProtection="0"/>
    <xf numFmtId="43" fontId="54" fillId="0" borderId="0" applyFont="0" applyFill="0" applyBorder="0" applyAlignment="0" applyProtection="0"/>
    <xf numFmtId="9"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47" fillId="0" borderId="0"/>
    <xf numFmtId="44"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7"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54" fillId="0" borderId="0" applyFont="0" applyFill="0" applyBorder="0" applyAlignment="0" applyProtection="0"/>
    <xf numFmtId="0" fontId="47" fillId="0" borderId="0"/>
    <xf numFmtId="165" fontId="47" fillId="0" borderId="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cellStyleXfs>
  <cellXfs count="689">
    <xf numFmtId="0" fontId="0" fillId="0" borderId="0" xfId="0"/>
    <xf numFmtId="0" fontId="1"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 fillId="0" borderId="4" xfId="0" applyFont="1" applyBorder="1" applyAlignment="1">
      <alignment horizontal="center" vertical="center"/>
    </xf>
    <xf numFmtId="164" fontId="4" fillId="0" borderId="5" xfId="0" applyNumberFormat="1" applyFont="1" applyBorder="1" applyAlignment="1">
      <alignment horizontal="center" vertical="center"/>
    </xf>
    <xf numFmtId="0" fontId="1" fillId="0" borderId="6" xfId="0" applyFont="1" applyBorder="1" applyAlignment="1">
      <alignment horizontal="center" vertical="center"/>
    </xf>
    <xf numFmtId="164" fontId="4" fillId="0" borderId="7" xfId="0" applyNumberFormat="1"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1" fillId="0" borderId="14" xfId="0" applyFont="1" applyBorder="1" applyAlignment="1">
      <alignment horizontal="center" vertical="center"/>
    </xf>
    <xf numFmtId="164" fontId="1" fillId="0" borderId="15" xfId="0" applyNumberFormat="1" applyFont="1" applyBorder="1" applyAlignment="1">
      <alignment horizontal="center" vertical="center"/>
    </xf>
    <xf numFmtId="10" fontId="1" fillId="0" borderId="15" xfId="3" applyNumberFormat="1" applyFont="1" applyFill="1" applyBorder="1" applyAlignment="1">
      <alignment horizontal="center" vertical="center"/>
    </xf>
    <xf numFmtId="164" fontId="1" fillId="0" borderId="16" xfId="0" applyNumberFormat="1" applyFont="1" applyBorder="1" applyAlignment="1">
      <alignment horizontal="center" vertical="center"/>
    </xf>
    <xf numFmtId="164" fontId="1" fillId="0" borderId="17" xfId="0" applyNumberFormat="1" applyFont="1" applyBorder="1" applyAlignment="1">
      <alignment horizontal="center" vertical="center"/>
    </xf>
    <xf numFmtId="10" fontId="1" fillId="0" borderId="17" xfId="3" applyNumberFormat="1" applyFont="1" applyFill="1" applyBorder="1" applyAlignment="1">
      <alignment horizontal="center" vertical="center"/>
    </xf>
    <xf numFmtId="164" fontId="1" fillId="0" borderId="7" xfId="0" applyNumberFormat="1" applyFont="1" applyBorder="1" applyAlignment="1">
      <alignment horizontal="center" vertical="center"/>
    </xf>
    <xf numFmtId="0" fontId="4" fillId="3" borderId="18" xfId="0" applyFont="1" applyFill="1" applyBorder="1" applyAlignment="1">
      <alignment horizontal="center" vertical="center"/>
    </xf>
    <xf numFmtId="9" fontId="1" fillId="0" borderId="15" xfId="3" applyFont="1" applyBorder="1" applyAlignment="1">
      <alignment horizontal="center" vertical="center"/>
    </xf>
    <xf numFmtId="164" fontId="4" fillId="0" borderId="16" xfId="0" applyNumberFormat="1" applyFont="1" applyBorder="1" applyAlignment="1">
      <alignment horizontal="center" vertical="center"/>
    </xf>
    <xf numFmtId="0" fontId="1" fillId="0" borderId="19" xfId="0" applyFont="1" applyBorder="1" applyAlignment="1">
      <alignment horizontal="center" vertical="center"/>
    </xf>
    <xf numFmtId="164" fontId="1" fillId="0" borderId="20" xfId="0" applyNumberFormat="1" applyFont="1" applyBorder="1" applyAlignment="1">
      <alignment horizontal="center" vertical="center"/>
    </xf>
    <xf numFmtId="9" fontId="1" fillId="0" borderId="20" xfId="3" applyFont="1" applyBorder="1" applyAlignment="1">
      <alignment horizontal="center" vertical="center"/>
    </xf>
    <xf numFmtId="164" fontId="4" fillId="0" borderId="21" xfId="0" applyNumberFormat="1" applyFont="1" applyBorder="1" applyAlignment="1">
      <alignment horizontal="center" vertical="center"/>
    </xf>
    <xf numFmtId="0" fontId="1" fillId="0" borderId="22" xfId="0" applyFont="1" applyBorder="1" applyAlignment="1">
      <alignment horizontal="center" vertical="center"/>
    </xf>
    <xf numFmtId="164" fontId="1" fillId="0" borderId="23" xfId="0" applyNumberFormat="1" applyFont="1" applyBorder="1" applyAlignment="1">
      <alignment horizontal="center" vertical="center"/>
    </xf>
    <xf numFmtId="9" fontId="1" fillId="0" borderId="23" xfId="3" applyFont="1" applyBorder="1" applyAlignment="1">
      <alignment horizontal="center" vertical="center"/>
    </xf>
    <xf numFmtId="164" fontId="4" fillId="0" borderId="24" xfId="0" applyNumberFormat="1" applyFont="1" applyBorder="1" applyAlignment="1">
      <alignment horizontal="center" vertical="center"/>
    </xf>
    <xf numFmtId="9" fontId="1" fillId="0" borderId="17" xfId="3" applyFont="1" applyBorder="1" applyAlignment="1">
      <alignment horizontal="center" vertical="center"/>
    </xf>
    <xf numFmtId="10" fontId="1" fillId="0" borderId="15" xfId="3" applyNumberFormat="1" applyFont="1" applyBorder="1" applyAlignment="1">
      <alignment horizontal="center" vertical="center"/>
    </xf>
    <xf numFmtId="9" fontId="1" fillId="4" borderId="15" xfId="3" applyFont="1" applyFill="1" applyBorder="1" applyAlignment="1">
      <alignment horizontal="center" vertical="center"/>
    </xf>
    <xf numFmtId="10" fontId="1" fillId="0" borderId="17" xfId="3" applyNumberFormat="1" applyFont="1" applyBorder="1" applyAlignment="1">
      <alignment horizontal="center" vertical="center"/>
    </xf>
    <xf numFmtId="0" fontId="4" fillId="3" borderId="12"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4" fillId="3" borderId="18" xfId="0" applyFont="1" applyFill="1" applyBorder="1" applyAlignment="1">
      <alignment horizontal="center" vertical="center" wrapText="1"/>
    </xf>
    <xf numFmtId="4" fontId="1" fillId="0" borderId="15" xfId="0" applyNumberFormat="1" applyFont="1" applyBorder="1" applyAlignment="1">
      <alignment horizontal="center" vertical="center"/>
    </xf>
    <xf numFmtId="4" fontId="1" fillId="0" borderId="20" xfId="0" applyNumberFormat="1" applyFont="1" applyBorder="1" applyAlignment="1">
      <alignment horizontal="center" vertical="center"/>
    </xf>
    <xf numFmtId="0" fontId="1" fillId="0" borderId="23" xfId="0" applyFont="1" applyBorder="1" applyAlignment="1">
      <alignment horizontal="center" vertical="center"/>
    </xf>
    <xf numFmtId="4" fontId="1" fillId="0" borderId="23" xfId="0" applyNumberFormat="1" applyFont="1" applyBorder="1" applyAlignment="1">
      <alignment horizontal="center" vertical="center"/>
    </xf>
    <xf numFmtId="4" fontId="1" fillId="0" borderId="17" xfId="0" applyNumberFormat="1" applyFont="1" applyBorder="1" applyAlignment="1">
      <alignment horizontal="center" vertical="center"/>
    </xf>
    <xf numFmtId="0" fontId="4" fillId="3" borderId="2" xfId="0" applyFont="1" applyFill="1" applyBorder="1" applyAlignment="1">
      <alignment horizontal="center" vertical="center" wrapText="1"/>
    </xf>
    <xf numFmtId="0" fontId="3" fillId="0" borderId="0" xfId="0" applyFont="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xf>
    <xf numFmtId="10" fontId="1" fillId="0" borderId="15" xfId="0" applyNumberFormat="1" applyFont="1" applyBorder="1" applyAlignment="1">
      <alignment horizontal="center" vertical="center"/>
    </xf>
    <xf numFmtId="10" fontId="1" fillId="0" borderId="20" xfId="0" applyNumberFormat="1" applyFont="1" applyBorder="1" applyAlignment="1">
      <alignment horizontal="center" vertical="center"/>
    </xf>
    <xf numFmtId="10" fontId="1" fillId="0" borderId="23" xfId="0" applyNumberFormat="1" applyFont="1" applyBorder="1" applyAlignment="1">
      <alignment horizontal="center" vertical="center"/>
    </xf>
    <xf numFmtId="10" fontId="1" fillId="0" borderId="17" xfId="0" applyNumberFormat="1" applyFont="1" applyBorder="1" applyAlignment="1">
      <alignment horizontal="center" vertical="center"/>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10" fontId="1" fillId="0" borderId="20" xfId="3" applyNumberFormat="1" applyFont="1" applyBorder="1" applyAlignment="1">
      <alignment horizontal="center" vertical="center"/>
    </xf>
    <xf numFmtId="10" fontId="1" fillId="0" borderId="23" xfId="3" applyNumberFormat="1" applyFont="1" applyBorder="1" applyAlignment="1">
      <alignment horizontal="center" vertical="center"/>
    </xf>
    <xf numFmtId="10" fontId="1" fillId="0" borderId="16" xfId="3" applyNumberFormat="1" applyFont="1" applyBorder="1" applyAlignment="1">
      <alignment horizontal="center" vertical="center"/>
    </xf>
    <xf numFmtId="10" fontId="1" fillId="0" borderId="21" xfId="3" applyNumberFormat="1" applyFont="1" applyBorder="1" applyAlignment="1">
      <alignment horizontal="center" vertical="center"/>
    </xf>
    <xf numFmtId="10" fontId="1" fillId="5" borderId="21" xfId="3" applyNumberFormat="1" applyFont="1" applyFill="1" applyBorder="1" applyAlignment="1">
      <alignment horizontal="center" vertical="center"/>
    </xf>
    <xf numFmtId="10" fontId="1" fillId="0" borderId="7" xfId="3" applyNumberFormat="1" applyFont="1" applyBorder="1" applyAlignment="1">
      <alignment horizontal="center" vertical="center"/>
    </xf>
    <xf numFmtId="0" fontId="4" fillId="6" borderId="28" xfId="0" applyFont="1" applyFill="1" applyBorder="1" applyAlignment="1">
      <alignment horizontal="center" vertical="center"/>
    </xf>
    <xf numFmtId="10" fontId="4" fillId="6" borderId="29" xfId="3" applyNumberFormat="1" applyFont="1" applyFill="1" applyBorder="1" applyAlignment="1">
      <alignment horizontal="center" vertical="center"/>
    </xf>
    <xf numFmtId="10" fontId="1" fillId="5" borderId="15" xfId="0" applyNumberFormat="1" applyFont="1" applyFill="1" applyBorder="1" applyAlignment="1">
      <alignment horizontal="center" vertical="center"/>
    </xf>
    <xf numFmtId="10" fontId="1" fillId="5" borderId="20" xfId="0" applyNumberFormat="1" applyFont="1" applyFill="1" applyBorder="1" applyAlignment="1">
      <alignment horizontal="center" vertical="center"/>
    </xf>
    <xf numFmtId="10" fontId="1" fillId="5" borderId="23" xfId="0" applyNumberFormat="1" applyFont="1" applyFill="1" applyBorder="1" applyAlignment="1">
      <alignment horizontal="center" vertical="center"/>
    </xf>
    <xf numFmtId="10" fontId="1" fillId="5" borderId="17" xfId="0" applyNumberFormat="1" applyFont="1" applyFill="1" applyBorder="1" applyAlignment="1">
      <alignment horizontal="center" vertical="center"/>
    </xf>
    <xf numFmtId="1" fontId="1" fillId="0" borderId="15" xfId="0" applyNumberFormat="1" applyFont="1" applyBorder="1" applyAlignment="1">
      <alignment horizontal="center" vertical="center"/>
    </xf>
    <xf numFmtId="1" fontId="1" fillId="0" borderId="20" xfId="0" applyNumberFormat="1" applyFont="1" applyBorder="1" applyAlignment="1">
      <alignment horizontal="center" vertical="center"/>
    </xf>
    <xf numFmtId="1" fontId="1" fillId="0" borderId="23" xfId="0" applyNumberFormat="1" applyFont="1" applyBorder="1" applyAlignment="1">
      <alignment horizontal="center" vertical="center"/>
    </xf>
    <xf numFmtId="1" fontId="1" fillId="0" borderId="17" xfId="0" applyNumberFormat="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6" fillId="0" borderId="6" xfId="0" applyFont="1" applyBorder="1" applyAlignment="1">
      <alignment horizontal="center" vertical="center"/>
    </xf>
    <xf numFmtId="164" fontId="1" fillId="0" borderId="30" xfId="0" applyNumberFormat="1" applyFont="1" applyBorder="1" applyAlignment="1">
      <alignment horizontal="center" vertical="center"/>
    </xf>
    <xf numFmtId="0" fontId="4" fillId="3" borderId="11" xfId="0" applyFont="1" applyFill="1" applyBorder="1" applyAlignment="1">
      <alignment horizontal="center" vertical="center" wrapText="1"/>
    </xf>
    <xf numFmtId="0" fontId="1" fillId="0" borderId="4" xfId="0" applyFont="1" applyBorder="1" applyAlignment="1">
      <alignment horizontal="center" vertical="center" wrapText="1"/>
    </xf>
    <xf numFmtId="10" fontId="1" fillId="0" borderId="5" xfId="3" applyNumberFormat="1" applyFont="1" applyFill="1" applyBorder="1" applyAlignment="1">
      <alignment horizontal="center" vertical="center"/>
    </xf>
    <xf numFmtId="0" fontId="1" fillId="7" borderId="19" xfId="0" applyFont="1" applyFill="1" applyBorder="1" applyAlignment="1">
      <alignment horizontal="center" vertical="center" wrapText="1"/>
    </xf>
    <xf numFmtId="10" fontId="1" fillId="7" borderId="21" xfId="3" applyNumberFormat="1" applyFont="1" applyFill="1" applyBorder="1" applyAlignment="1">
      <alignment horizontal="center" vertical="center"/>
    </xf>
    <xf numFmtId="0" fontId="1" fillId="0" borderId="19" xfId="0" applyFont="1" applyBorder="1" applyAlignment="1">
      <alignment horizontal="center" vertical="center" wrapText="1"/>
    </xf>
    <xf numFmtId="10" fontId="1" fillId="0" borderId="21" xfId="3" applyNumberFormat="1" applyFont="1" applyFill="1" applyBorder="1" applyAlignment="1">
      <alignment horizontal="center" vertical="center"/>
    </xf>
    <xf numFmtId="0" fontId="1" fillId="0" borderId="22" xfId="0" applyFont="1" applyBorder="1" applyAlignment="1">
      <alignment horizontal="center" vertical="center" wrapText="1"/>
    </xf>
    <xf numFmtId="10" fontId="1" fillId="0" borderId="24" xfId="3" applyNumberFormat="1" applyFont="1" applyFill="1" applyBorder="1" applyAlignment="1">
      <alignment horizontal="center" vertical="center"/>
    </xf>
    <xf numFmtId="10" fontId="4" fillId="3" borderId="3" xfId="0" applyNumberFormat="1" applyFont="1" applyFill="1" applyBorder="1" applyAlignment="1">
      <alignment horizontal="center" vertical="center"/>
    </xf>
    <xf numFmtId="164" fontId="1" fillId="0" borderId="0" xfId="0" applyNumberFormat="1" applyFont="1" applyAlignment="1">
      <alignment horizontal="center" vertical="center"/>
    </xf>
    <xf numFmtId="0" fontId="4" fillId="0" borderId="0" xfId="0" applyFont="1" applyAlignment="1">
      <alignment vertical="center"/>
    </xf>
    <xf numFmtId="0" fontId="4" fillId="3" borderId="31" xfId="0" applyFont="1" applyFill="1" applyBorder="1" applyAlignment="1">
      <alignment horizontal="center" vertical="center" wrapText="1"/>
    </xf>
    <xf numFmtId="40" fontId="1" fillId="0" borderId="15" xfId="0" applyNumberFormat="1" applyFont="1" applyBorder="1" applyAlignment="1">
      <alignment horizontal="center" vertical="center"/>
    </xf>
    <xf numFmtId="40" fontId="4" fillId="0" borderId="16" xfId="0" applyNumberFormat="1" applyFont="1" applyBorder="1" applyAlignment="1">
      <alignment horizontal="center" vertical="center"/>
    </xf>
    <xf numFmtId="40" fontId="1" fillId="0" borderId="20" xfId="0" applyNumberFormat="1" applyFont="1" applyBorder="1" applyAlignment="1">
      <alignment horizontal="center" vertical="center"/>
    </xf>
    <xf numFmtId="40" fontId="4" fillId="0" borderId="21" xfId="0" applyNumberFormat="1" applyFont="1" applyBorder="1" applyAlignment="1">
      <alignment horizontal="center" vertical="center"/>
    </xf>
    <xf numFmtId="40" fontId="1" fillId="0" borderId="23" xfId="0" applyNumberFormat="1" applyFont="1" applyBorder="1" applyAlignment="1">
      <alignment horizontal="center" vertical="center"/>
    </xf>
    <xf numFmtId="40" fontId="4" fillId="0" borderId="24" xfId="0" applyNumberFormat="1" applyFont="1" applyBorder="1" applyAlignment="1">
      <alignment horizontal="center" vertical="center"/>
    </xf>
    <xf numFmtId="40" fontId="1" fillId="0" borderId="17" xfId="0" applyNumberFormat="1" applyFont="1" applyBorder="1" applyAlignment="1">
      <alignment horizontal="center" vertical="center"/>
    </xf>
    <xf numFmtId="40" fontId="4" fillId="0" borderId="7" xfId="0" applyNumberFormat="1" applyFont="1" applyBorder="1" applyAlignment="1">
      <alignment horizontal="center" vertical="center"/>
    </xf>
    <xf numFmtId="0" fontId="4" fillId="3" borderId="34" xfId="0" applyFont="1" applyFill="1" applyBorder="1" applyAlignment="1">
      <alignment horizontal="center" vertical="center" wrapText="1"/>
    </xf>
    <xf numFmtId="0" fontId="1" fillId="0" borderId="14" xfId="0" applyFont="1" applyBorder="1" applyAlignment="1">
      <alignment horizontal="center" vertical="center" wrapText="1"/>
    </xf>
    <xf numFmtId="167" fontId="1" fillId="0" borderId="15" xfId="0" applyNumberFormat="1" applyFont="1" applyBorder="1" applyAlignment="1">
      <alignment horizontal="center" vertical="center" wrapText="1"/>
    </xf>
    <xf numFmtId="0" fontId="1" fillId="0" borderId="35" xfId="0" applyFont="1" applyBorder="1" applyAlignment="1">
      <alignment horizontal="center" vertical="center" wrapText="1"/>
    </xf>
    <xf numFmtId="9" fontId="1" fillId="0" borderId="14" xfId="3" applyFont="1" applyBorder="1" applyAlignment="1">
      <alignment horizontal="center" vertical="center" wrapText="1"/>
    </xf>
    <xf numFmtId="166" fontId="4" fillId="0" borderId="16" xfId="2" applyNumberFormat="1" applyFont="1" applyBorder="1" applyAlignment="1">
      <alignment horizontal="center" vertical="center" wrapText="1"/>
    </xf>
    <xf numFmtId="10" fontId="1" fillId="0" borderId="14" xfId="3" applyNumberFormat="1" applyFont="1" applyBorder="1" applyAlignment="1">
      <alignment horizontal="center" vertical="center" wrapText="1"/>
    </xf>
    <xf numFmtId="167" fontId="1" fillId="0" borderId="20" xfId="0" applyNumberFormat="1" applyFont="1" applyBorder="1" applyAlignment="1">
      <alignment horizontal="center" vertical="center" wrapText="1"/>
    </xf>
    <xf numFmtId="0" fontId="1" fillId="0" borderId="36" xfId="0" applyFont="1" applyBorder="1" applyAlignment="1">
      <alignment horizontal="center" vertical="center" wrapText="1"/>
    </xf>
    <xf numFmtId="9" fontId="1" fillId="0" borderId="19" xfId="3" applyFont="1" applyBorder="1" applyAlignment="1">
      <alignment horizontal="center" vertical="center" wrapText="1"/>
    </xf>
    <xf numFmtId="166" fontId="4" fillId="0" borderId="21" xfId="2" applyNumberFormat="1" applyFont="1" applyBorder="1" applyAlignment="1">
      <alignment horizontal="center" vertical="center" wrapText="1"/>
    </xf>
    <xf numFmtId="10" fontId="1" fillId="0" borderId="19" xfId="3" applyNumberFormat="1" applyFont="1" applyBorder="1" applyAlignment="1">
      <alignment horizontal="center" vertical="center" wrapText="1"/>
    </xf>
    <xf numFmtId="0" fontId="1" fillId="0" borderId="6" xfId="0" applyFont="1" applyBorder="1" applyAlignment="1">
      <alignment horizontal="center" vertical="center" wrapText="1"/>
    </xf>
    <xf numFmtId="167" fontId="1" fillId="0" borderId="17" xfId="0" applyNumberFormat="1" applyFont="1" applyBorder="1" applyAlignment="1">
      <alignment horizontal="center" vertical="center" wrapText="1"/>
    </xf>
    <xf numFmtId="0" fontId="1" fillId="0" borderId="37" xfId="0" applyFont="1" applyBorder="1" applyAlignment="1">
      <alignment horizontal="center" vertical="center" wrapText="1"/>
    </xf>
    <xf numFmtId="9" fontId="1" fillId="0" borderId="6" xfId="3" applyFont="1" applyBorder="1" applyAlignment="1">
      <alignment horizontal="center" vertical="center" wrapText="1"/>
    </xf>
    <xf numFmtId="166" fontId="4" fillId="0" borderId="7" xfId="2" applyNumberFormat="1" applyFont="1" applyBorder="1" applyAlignment="1">
      <alignment horizontal="center" vertical="center" wrapText="1"/>
    </xf>
    <xf numFmtId="10" fontId="1" fillId="0" borderId="6" xfId="3" applyNumberFormat="1" applyFont="1" applyBorder="1" applyAlignment="1">
      <alignment horizontal="center" vertical="center" wrapText="1"/>
    </xf>
    <xf numFmtId="0" fontId="4" fillId="3" borderId="3" xfId="0" applyFont="1" applyFill="1" applyBorder="1" applyAlignment="1">
      <alignment horizontal="center" vertical="center" wrapText="1"/>
    </xf>
    <xf numFmtId="167" fontId="1" fillId="0" borderId="16" xfId="0" applyNumberFormat="1" applyFont="1" applyBorder="1" applyAlignment="1">
      <alignment horizontal="center" vertical="center" wrapText="1"/>
    </xf>
    <xf numFmtId="167" fontId="1" fillId="0" borderId="21" xfId="0" applyNumberFormat="1" applyFont="1" applyBorder="1" applyAlignment="1">
      <alignment horizontal="center" vertical="center" wrapText="1"/>
    </xf>
    <xf numFmtId="167" fontId="1" fillId="0" borderId="23" xfId="0" applyNumberFormat="1" applyFont="1" applyBorder="1" applyAlignment="1">
      <alignment horizontal="center" vertical="center" wrapText="1"/>
    </xf>
    <xf numFmtId="167" fontId="1" fillId="0" borderId="24" xfId="0" applyNumberFormat="1" applyFont="1" applyBorder="1" applyAlignment="1">
      <alignment horizontal="center" vertical="center" wrapText="1"/>
    </xf>
    <xf numFmtId="167" fontId="4" fillId="3" borderId="18" xfId="0" applyNumberFormat="1" applyFont="1" applyFill="1" applyBorder="1" applyAlignment="1">
      <alignment horizontal="center" vertical="center" wrapText="1"/>
    </xf>
    <xf numFmtId="167" fontId="4" fillId="3" borderId="3" xfId="0" applyNumberFormat="1" applyFont="1" applyFill="1" applyBorder="1" applyAlignment="1">
      <alignment horizontal="center" vertical="center" wrapText="1"/>
    </xf>
    <xf numFmtId="167" fontId="1" fillId="0" borderId="15" xfId="0" applyNumberFormat="1" applyFont="1" applyBorder="1" applyAlignment="1">
      <alignment horizontal="center" vertical="center"/>
    </xf>
    <xf numFmtId="167" fontId="1" fillId="0" borderId="20" xfId="0" applyNumberFormat="1" applyFont="1" applyBorder="1" applyAlignment="1">
      <alignment horizontal="center" vertical="center"/>
    </xf>
    <xf numFmtId="167" fontId="1" fillId="0" borderId="23" xfId="0" applyNumberFormat="1" applyFont="1" applyBorder="1" applyAlignment="1">
      <alignment horizontal="center" vertical="center"/>
    </xf>
    <xf numFmtId="167" fontId="1" fillId="0" borderId="17" xfId="0" applyNumberFormat="1" applyFont="1" applyBorder="1" applyAlignment="1">
      <alignment horizontal="center" vertical="center"/>
    </xf>
    <xf numFmtId="0" fontId="7" fillId="0" borderId="0" xfId="0" applyFont="1" applyAlignment="1">
      <alignment vertical="center"/>
    </xf>
    <xf numFmtId="0" fontId="7" fillId="9" borderId="34" xfId="0" applyFont="1" applyFill="1" applyBorder="1" applyAlignment="1">
      <alignment horizontal="center" vertical="center"/>
    </xf>
    <xf numFmtId="165" fontId="7" fillId="9" borderId="34" xfId="21" applyFont="1" applyFill="1" applyBorder="1" applyAlignment="1" applyProtection="1">
      <alignment horizontal="center" vertical="center"/>
    </xf>
    <xf numFmtId="0" fontId="4" fillId="3" borderId="34" xfId="0" applyFont="1" applyFill="1" applyBorder="1" applyAlignment="1">
      <alignment horizontal="center" vertical="center"/>
    </xf>
    <xf numFmtId="3" fontId="1" fillId="0" borderId="30" xfId="21" applyNumberFormat="1" applyFont="1" applyFill="1" applyBorder="1" applyAlignment="1" applyProtection="1">
      <alignment horizontal="center" vertical="center"/>
    </xf>
    <xf numFmtId="165" fontId="1" fillId="0" borderId="30" xfId="21" applyFont="1" applyFill="1" applyBorder="1" applyAlignment="1" applyProtection="1">
      <alignment horizontal="center" vertical="center"/>
    </xf>
    <xf numFmtId="4" fontId="6" fillId="0" borderId="40" xfId="0" applyNumberFormat="1" applyFont="1" applyBorder="1" applyAlignment="1">
      <alignment horizontal="center" vertical="center"/>
    </xf>
    <xf numFmtId="3" fontId="1" fillId="0" borderId="20" xfId="21" applyNumberFormat="1" applyFont="1" applyFill="1" applyBorder="1" applyAlignment="1" applyProtection="1">
      <alignment horizontal="center" vertical="center"/>
    </xf>
    <xf numFmtId="165" fontId="1" fillId="0" borderId="20" xfId="21" applyFont="1" applyFill="1" applyBorder="1" applyAlignment="1" applyProtection="1">
      <alignment horizontal="center" vertical="center"/>
    </xf>
    <xf numFmtId="4" fontId="6" fillId="0" borderId="41" xfId="0" applyNumberFormat="1" applyFont="1" applyBorder="1" applyAlignment="1">
      <alignment horizontal="center" vertical="center"/>
    </xf>
    <xf numFmtId="3" fontId="1" fillId="0" borderId="17" xfId="21" applyNumberFormat="1" applyFont="1" applyFill="1" applyBorder="1" applyAlignment="1" applyProtection="1">
      <alignment horizontal="center" vertical="center"/>
    </xf>
    <xf numFmtId="165" fontId="1" fillId="0" borderId="17" xfId="21" applyFont="1" applyFill="1" applyBorder="1" applyAlignment="1" applyProtection="1">
      <alignment horizontal="center" vertical="center"/>
    </xf>
    <xf numFmtId="4" fontId="6" fillId="0" borderId="42" xfId="0" applyNumberFormat="1" applyFont="1" applyBorder="1" applyAlignment="1">
      <alignment horizontal="center" vertical="center"/>
    </xf>
    <xf numFmtId="4" fontId="7" fillId="9" borderId="33" xfId="0" applyNumberFormat="1" applyFont="1" applyFill="1" applyBorder="1" applyAlignment="1">
      <alignment horizontal="center" vertical="center"/>
    </xf>
    <xf numFmtId="165" fontId="1" fillId="0" borderId="0" xfId="21" applyFont="1" applyFill="1" applyBorder="1" applyAlignment="1" applyProtection="1">
      <alignment horizontal="center" vertical="center"/>
    </xf>
    <xf numFmtId="165" fontId="1" fillId="0" borderId="0" xfId="0" applyNumberFormat="1" applyFont="1" applyAlignment="1">
      <alignment horizontal="center" vertical="center"/>
    </xf>
    <xf numFmtId="0" fontId="7" fillId="0" borderId="0" xfId="0" applyFont="1" applyAlignment="1">
      <alignment horizontal="center" vertical="center"/>
    </xf>
    <xf numFmtId="0" fontId="7" fillId="9" borderId="11"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13" xfId="0" applyFont="1" applyFill="1" applyBorder="1" applyAlignment="1">
      <alignment horizontal="center" vertical="center"/>
    </xf>
    <xf numFmtId="4" fontId="1" fillId="0" borderId="15" xfId="21" applyNumberFormat="1" applyFont="1" applyFill="1" applyBorder="1" applyAlignment="1" applyProtection="1">
      <alignment horizontal="center" vertical="center"/>
    </xf>
    <xf numFmtId="4" fontId="7" fillId="0" borderId="16" xfId="21" applyNumberFormat="1" applyFont="1" applyFill="1" applyBorder="1" applyAlignment="1" applyProtection="1">
      <alignment horizontal="center" vertical="center"/>
    </xf>
    <xf numFmtId="4" fontId="1" fillId="0" borderId="20" xfId="21" applyNumberFormat="1" applyFont="1" applyFill="1" applyBorder="1" applyAlignment="1" applyProtection="1">
      <alignment horizontal="center" vertical="center"/>
    </xf>
    <xf numFmtId="4" fontId="7" fillId="0" borderId="21" xfId="21" applyNumberFormat="1" applyFont="1" applyFill="1" applyBorder="1" applyAlignment="1" applyProtection="1">
      <alignment horizontal="center" vertical="center"/>
    </xf>
    <xf numFmtId="4" fontId="1" fillId="0" borderId="17" xfId="21" applyNumberFormat="1" applyFont="1" applyFill="1" applyBorder="1" applyAlignment="1" applyProtection="1">
      <alignment horizontal="center" vertical="center"/>
    </xf>
    <xf numFmtId="4" fontId="7" fillId="0" borderId="7" xfId="21" applyNumberFormat="1" applyFont="1" applyFill="1" applyBorder="1" applyAlignment="1" applyProtection="1">
      <alignment horizontal="center" vertical="center"/>
    </xf>
    <xf numFmtId="4" fontId="1" fillId="0" borderId="30" xfId="21" applyNumberFormat="1" applyFont="1" applyFill="1" applyBorder="1" applyAlignment="1" applyProtection="1">
      <alignment horizontal="center" vertical="center"/>
    </xf>
    <xf numFmtId="4" fontId="7" fillId="0" borderId="5" xfId="21" applyNumberFormat="1" applyFont="1" applyFill="1" applyBorder="1" applyAlignment="1" applyProtection="1">
      <alignment horizontal="center" vertical="center"/>
    </xf>
    <xf numFmtId="0" fontId="8" fillId="9" borderId="2"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18" xfId="0" applyFont="1" applyFill="1" applyBorder="1" applyAlignment="1">
      <alignment horizontal="center" vertical="center" wrapText="1"/>
    </xf>
    <xf numFmtId="0" fontId="9" fillId="0" borderId="4" xfId="0" applyFont="1" applyBorder="1" applyAlignment="1">
      <alignment horizontal="center" vertical="center"/>
    </xf>
    <xf numFmtId="4" fontId="9" fillId="10" borderId="30" xfId="21" applyNumberFormat="1" applyFont="1" applyFill="1" applyBorder="1" applyAlignment="1">
      <alignment horizontal="center" vertical="center"/>
    </xf>
    <xf numFmtId="1" fontId="9" fillId="0" borderId="30" xfId="21" applyNumberFormat="1" applyFont="1" applyBorder="1" applyAlignment="1">
      <alignment horizontal="center" vertical="center"/>
    </xf>
    <xf numFmtId="2" fontId="9" fillId="0" borderId="30" xfId="21" applyNumberFormat="1" applyFont="1" applyBorder="1" applyAlignment="1">
      <alignment horizontal="center" vertical="center"/>
    </xf>
    <xf numFmtId="4" fontId="9" fillId="0" borderId="30" xfId="21" applyNumberFormat="1" applyFont="1" applyBorder="1" applyAlignment="1">
      <alignment horizontal="center" vertical="center"/>
    </xf>
    <xf numFmtId="4" fontId="1" fillId="0" borderId="5" xfId="0" applyNumberFormat="1" applyFont="1" applyBorder="1" applyAlignment="1">
      <alignment horizontal="center" vertical="center"/>
    </xf>
    <xf numFmtId="0" fontId="9" fillId="0" borderId="19" xfId="0" applyFont="1" applyBorder="1" applyAlignment="1">
      <alignment horizontal="center" vertical="center"/>
    </xf>
    <xf numFmtId="4" fontId="9" fillId="10" borderId="20" xfId="21" applyNumberFormat="1" applyFont="1" applyFill="1" applyBorder="1" applyAlignment="1">
      <alignment horizontal="center" vertical="center"/>
    </xf>
    <xf numFmtId="1" fontId="9" fillId="0" borderId="20" xfId="21" applyNumberFormat="1" applyFont="1" applyBorder="1" applyAlignment="1">
      <alignment horizontal="center" vertical="center"/>
    </xf>
    <xf numFmtId="2" fontId="9" fillId="0" borderId="20" xfId="21" applyNumberFormat="1" applyFont="1" applyBorder="1" applyAlignment="1">
      <alignment horizontal="center" vertical="center"/>
    </xf>
    <xf numFmtId="4" fontId="9" fillId="0" borderId="20" xfId="21" applyNumberFormat="1" applyFont="1" applyBorder="1" applyAlignment="1">
      <alignment horizontal="center" vertical="center"/>
    </xf>
    <xf numFmtId="4" fontId="1" fillId="0" borderId="21" xfId="0" applyNumberFormat="1" applyFont="1" applyBorder="1" applyAlignment="1">
      <alignment horizontal="center" vertical="center"/>
    </xf>
    <xf numFmtId="4" fontId="4" fillId="0" borderId="21" xfId="0" applyNumberFormat="1" applyFont="1" applyBorder="1" applyAlignment="1">
      <alignment horizontal="center" vertical="center"/>
    </xf>
    <xf numFmtId="0" fontId="6" fillId="0" borderId="19" xfId="0" applyFont="1" applyBorder="1" applyAlignment="1">
      <alignment horizontal="center" vertical="center"/>
    </xf>
    <xf numFmtId="2" fontId="1" fillId="0" borderId="20" xfId="0" applyNumberFormat="1" applyFont="1" applyBorder="1" applyAlignment="1">
      <alignment horizontal="center" vertical="center"/>
    </xf>
    <xf numFmtId="0" fontId="9" fillId="0" borderId="6" xfId="0" applyFont="1" applyBorder="1" applyAlignment="1">
      <alignment horizontal="center" vertical="center"/>
    </xf>
    <xf numFmtId="4" fontId="9" fillId="10" borderId="17" xfId="21" applyNumberFormat="1" applyFont="1" applyFill="1" applyBorder="1" applyAlignment="1">
      <alignment horizontal="center" vertical="center"/>
    </xf>
    <xf numFmtId="1" fontId="9" fillId="0" borderId="17" xfId="21" applyNumberFormat="1" applyFont="1" applyBorder="1" applyAlignment="1">
      <alignment horizontal="center" vertical="center"/>
    </xf>
    <xf numFmtId="2" fontId="9" fillId="0" borderId="17" xfId="21" applyNumberFormat="1" applyFont="1" applyBorder="1" applyAlignment="1">
      <alignment horizontal="center" vertical="center"/>
    </xf>
    <xf numFmtId="4" fontId="9" fillId="0" borderId="17" xfId="21" applyNumberFormat="1" applyFont="1" applyBorder="1" applyAlignment="1">
      <alignment horizontal="center" vertical="center"/>
    </xf>
    <xf numFmtId="4" fontId="1" fillId="0" borderId="7" xfId="0" applyNumberFormat="1" applyFont="1" applyBorder="1" applyAlignment="1">
      <alignment horizontal="center" vertical="center"/>
    </xf>
    <xf numFmtId="4" fontId="7" fillId="9" borderId="46" xfId="0" applyNumberFormat="1" applyFont="1" applyFill="1" applyBorder="1" applyAlignment="1">
      <alignment horizontal="center" vertical="center"/>
    </xf>
    <xf numFmtId="4" fontId="4" fillId="3" borderId="34" xfId="0" applyNumberFormat="1" applyFont="1" applyFill="1" applyBorder="1" applyAlignment="1">
      <alignment horizontal="center" vertical="center"/>
    </xf>
    <xf numFmtId="0" fontId="7" fillId="9" borderId="2" xfId="0" applyFont="1" applyFill="1" applyBorder="1" applyAlignment="1">
      <alignment horizontal="center" vertical="center"/>
    </xf>
    <xf numFmtId="0" fontId="7" fillId="9" borderId="18" xfId="0" applyFont="1" applyFill="1" applyBorder="1" applyAlignment="1">
      <alignment horizontal="center" vertical="center"/>
    </xf>
    <xf numFmtId="165" fontId="7" fillId="9" borderId="3" xfId="0" applyNumberFormat="1" applyFont="1" applyFill="1" applyBorder="1" applyAlignment="1">
      <alignment horizontal="center" vertical="center" wrapText="1"/>
    </xf>
    <xf numFmtId="4" fontId="7" fillId="0" borderId="16" xfId="0" applyNumberFormat="1" applyFont="1" applyBorder="1" applyAlignment="1">
      <alignment horizontal="center" vertical="center"/>
    </xf>
    <xf numFmtId="4" fontId="7" fillId="0" borderId="21" xfId="0" applyNumberFormat="1" applyFont="1" applyBorder="1" applyAlignment="1">
      <alignment horizontal="center" vertical="center"/>
    </xf>
    <xf numFmtId="4" fontId="1" fillId="0" borderId="23" xfId="21" applyNumberFormat="1" applyFont="1" applyFill="1" applyBorder="1" applyAlignment="1" applyProtection="1">
      <alignment horizontal="center" vertical="center"/>
    </xf>
    <xf numFmtId="4" fontId="7" fillId="0" borderId="24" xfId="0" applyNumberFormat="1" applyFont="1" applyBorder="1" applyAlignment="1">
      <alignment horizontal="center" vertical="center"/>
    </xf>
    <xf numFmtId="4" fontId="7" fillId="0" borderId="7" xfId="0" applyNumberFormat="1" applyFont="1" applyBorder="1" applyAlignment="1">
      <alignment horizontal="center" vertical="center"/>
    </xf>
    <xf numFmtId="0" fontId="7" fillId="11" borderId="11" xfId="0" applyFont="1" applyFill="1" applyBorder="1" applyAlignment="1">
      <alignment horizontal="center" vertical="center"/>
    </xf>
    <xf numFmtId="0" fontId="7" fillId="11" borderId="12" xfId="0" applyFont="1" applyFill="1" applyBorder="1" applyAlignment="1">
      <alignment horizontal="center" vertical="center" wrapText="1"/>
    </xf>
    <xf numFmtId="0" fontId="7" fillId="11" borderId="13" xfId="0" applyFont="1" applyFill="1" applyBorder="1" applyAlignment="1">
      <alignment horizontal="center" vertical="center"/>
    </xf>
    <xf numFmtId="4" fontId="6" fillId="0" borderId="16" xfId="0" applyNumberFormat="1" applyFont="1" applyBorder="1" applyAlignment="1">
      <alignment horizontal="center" vertical="center"/>
    </xf>
    <xf numFmtId="4" fontId="6" fillId="0" borderId="21" xfId="0" applyNumberFormat="1" applyFont="1" applyBorder="1" applyAlignment="1">
      <alignment horizontal="center" vertical="center"/>
    </xf>
    <xf numFmtId="4" fontId="6" fillId="0" borderId="24" xfId="0" applyNumberFormat="1" applyFont="1" applyBorder="1" applyAlignment="1">
      <alignment horizontal="center" vertical="center"/>
    </xf>
    <xf numFmtId="4" fontId="6" fillId="0" borderId="7" xfId="0" applyNumberFormat="1" applyFont="1" applyBorder="1" applyAlignment="1">
      <alignment horizontal="center" vertical="center"/>
    </xf>
    <xf numFmtId="10" fontId="6" fillId="0" borderId="21" xfId="3" applyNumberFormat="1" applyFont="1" applyBorder="1" applyAlignment="1">
      <alignment horizontal="center" vertical="center"/>
    </xf>
    <xf numFmtId="10" fontId="6" fillId="0" borderId="7" xfId="3" applyNumberFormat="1" applyFont="1" applyBorder="1" applyAlignment="1">
      <alignment horizontal="center" vertical="center"/>
    </xf>
    <xf numFmtId="39" fontId="1" fillId="0" borderId="15" xfId="22" applyNumberFormat="1" applyFont="1" applyFill="1" applyBorder="1" applyAlignment="1" applyProtection="1">
      <alignment horizontal="center" vertical="center"/>
    </xf>
    <xf numFmtId="10" fontId="1" fillId="0" borderId="15" xfId="3" applyNumberFormat="1" applyFont="1" applyFill="1" applyBorder="1" applyAlignment="1" applyProtection="1">
      <alignment horizontal="center" vertical="center"/>
    </xf>
    <xf numFmtId="39" fontId="1" fillId="0" borderId="20" xfId="22" applyNumberFormat="1" applyFont="1" applyFill="1" applyBorder="1" applyAlignment="1" applyProtection="1">
      <alignment horizontal="center" vertical="center"/>
    </xf>
    <xf numFmtId="10" fontId="1" fillId="0" borderId="20" xfId="3" applyNumberFormat="1" applyFont="1" applyFill="1" applyBorder="1" applyAlignment="1" applyProtection="1">
      <alignment horizontal="center" vertical="center"/>
    </xf>
    <xf numFmtId="39" fontId="1" fillId="0" borderId="23" xfId="22" applyNumberFormat="1" applyFont="1" applyFill="1" applyBorder="1" applyAlignment="1" applyProtection="1">
      <alignment horizontal="center" vertical="center"/>
    </xf>
    <xf numFmtId="10" fontId="1" fillId="0" borderId="23" xfId="3" applyNumberFormat="1" applyFont="1" applyFill="1" applyBorder="1" applyAlignment="1" applyProtection="1">
      <alignment horizontal="center" vertical="center"/>
    </xf>
    <xf numFmtId="39" fontId="1" fillId="0" borderId="17" xfId="22" applyNumberFormat="1" applyFont="1" applyFill="1" applyBorder="1" applyAlignment="1" applyProtection="1">
      <alignment horizontal="center" vertical="center"/>
    </xf>
    <xf numFmtId="10" fontId="1" fillId="0" borderId="17" xfId="3" applyNumberFormat="1" applyFont="1" applyFill="1" applyBorder="1" applyAlignment="1" applyProtection="1">
      <alignment horizontal="center" vertical="center"/>
    </xf>
    <xf numFmtId="164" fontId="1" fillId="0" borderId="21" xfId="0" applyNumberFormat="1" applyFont="1" applyBorder="1" applyAlignment="1">
      <alignment horizontal="center" vertical="center"/>
    </xf>
    <xf numFmtId="0" fontId="10" fillId="0" borderId="6" xfId="0" applyFont="1" applyBorder="1" applyAlignment="1">
      <alignment horizontal="center" vertical="center" wrapText="1"/>
    </xf>
    <xf numFmtId="164" fontId="10" fillId="0" borderId="17" xfId="0" applyNumberFormat="1" applyFont="1" applyBorder="1" applyAlignment="1">
      <alignment horizontal="center" vertical="center"/>
    </xf>
    <xf numFmtId="164" fontId="10" fillId="0" borderId="7" xfId="0" applyNumberFormat="1" applyFont="1" applyBorder="1" applyAlignment="1">
      <alignment horizontal="center" vertical="center"/>
    </xf>
    <xf numFmtId="164" fontId="4" fillId="3" borderId="18"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11" fillId="0" borderId="0" xfId="0" applyFont="1" applyAlignment="1">
      <alignment vertical="center"/>
    </xf>
    <xf numFmtId="0" fontId="11" fillId="0" borderId="0" xfId="0" applyFont="1"/>
    <xf numFmtId="0" fontId="13" fillId="12" borderId="20" xfId="0" applyFont="1" applyFill="1" applyBorder="1" applyAlignment="1">
      <alignment horizontal="center" vertical="center" wrapText="1"/>
    </xf>
    <xf numFmtId="0" fontId="12" fillId="0" borderId="0" xfId="0" applyFont="1" applyAlignment="1">
      <alignment horizontal="center"/>
    </xf>
    <xf numFmtId="170" fontId="12" fillId="0" borderId="20" xfId="16" applyNumberFormat="1" applyFont="1" applyBorder="1"/>
    <xf numFmtId="170" fontId="12" fillId="0" borderId="0" xfId="16" applyNumberFormat="1" applyFont="1"/>
    <xf numFmtId="43" fontId="11" fillId="0" borderId="0" xfId="0" applyNumberFormat="1" applyFont="1"/>
    <xf numFmtId="4" fontId="11" fillId="0" borderId="0" xfId="0" applyNumberFormat="1" applyFont="1"/>
    <xf numFmtId="171" fontId="14" fillId="0" borderId="0" xfId="0" applyNumberFormat="1" applyFont="1" applyAlignment="1">
      <alignment horizontal="center" wrapText="1"/>
    </xf>
    <xf numFmtId="0" fontId="15" fillId="0" borderId="0" xfId="0" applyFont="1"/>
    <xf numFmtId="0" fontId="16" fillId="0" borderId="0" xfId="0" applyFont="1"/>
    <xf numFmtId="0" fontId="16" fillId="0" borderId="43" xfId="0" applyFont="1" applyBorder="1"/>
    <xf numFmtId="0" fontId="16" fillId="0" borderId="1" xfId="0" applyFont="1" applyBorder="1"/>
    <xf numFmtId="0" fontId="18" fillId="8" borderId="54" xfId="0" applyFont="1" applyFill="1" applyBorder="1" applyAlignment="1">
      <alignment horizontal="center" vertical="center"/>
    </xf>
    <xf numFmtId="0" fontId="16" fillId="0" borderId="45" xfId="0" applyFont="1" applyBorder="1"/>
    <xf numFmtId="0" fontId="16" fillId="0" borderId="39" xfId="0" applyFont="1" applyBorder="1"/>
    <xf numFmtId="0" fontId="16" fillId="0" borderId="46" xfId="0" applyFont="1" applyBorder="1"/>
    <xf numFmtId="0" fontId="19" fillId="0" borderId="0" xfId="0" applyFont="1" applyAlignment="1">
      <alignment horizontal="center" vertical="center" wrapText="1"/>
    </xf>
    <xf numFmtId="0" fontId="18" fillId="8" borderId="20" xfId="0" applyFont="1" applyFill="1" applyBorder="1" applyAlignment="1">
      <alignment horizontal="left" vertical="center"/>
    </xf>
    <xf numFmtId="0" fontId="19" fillId="0" borderId="0" xfId="0" applyFont="1" applyAlignment="1">
      <alignment horizontal="center"/>
    </xf>
    <xf numFmtId="0" fontId="19" fillId="8" borderId="20" xfId="0" applyFont="1" applyFill="1" applyBorder="1" applyAlignment="1">
      <alignment horizontal="center" vertical="center" wrapText="1"/>
    </xf>
    <xf numFmtId="14" fontId="21" fillId="8" borderId="20" xfId="0" applyNumberFormat="1" applyFont="1" applyFill="1" applyBorder="1" applyAlignment="1">
      <alignment horizontal="center"/>
    </xf>
    <xf numFmtId="0" fontId="21" fillId="8" borderId="20" xfId="0" applyFont="1" applyFill="1" applyBorder="1" applyAlignment="1">
      <alignment horizontal="center" vertical="center"/>
    </xf>
    <xf numFmtId="0" fontId="22" fillId="8" borderId="20" xfId="0" applyFont="1" applyFill="1" applyBorder="1" applyAlignment="1">
      <alignment horizontal="center" vertical="center" wrapText="1"/>
    </xf>
    <xf numFmtId="0" fontId="24" fillId="8" borderId="20"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25" fillId="8" borderId="20" xfId="0" applyFont="1" applyFill="1" applyBorder="1" applyAlignment="1">
      <alignment horizontal="center" vertical="center"/>
    </xf>
    <xf numFmtId="0" fontId="12" fillId="8" borderId="0" xfId="0" applyFont="1" applyFill="1" applyAlignment="1">
      <alignment horizontal="center" vertical="center" wrapText="1"/>
    </xf>
    <xf numFmtId="0" fontId="23" fillId="0" borderId="20" xfId="0" applyFont="1" applyBorder="1" applyAlignment="1">
      <alignment horizontal="center" vertical="center"/>
    </xf>
    <xf numFmtId="0" fontId="19" fillId="8" borderId="0" xfId="0" applyFont="1" applyFill="1" applyAlignment="1">
      <alignment horizontal="center" vertical="center" wrapText="1"/>
    </xf>
    <xf numFmtId="0" fontId="16" fillId="0" borderId="0" xfId="0" applyFont="1" applyAlignment="1">
      <alignment horizontal="left" vertical="top"/>
    </xf>
    <xf numFmtId="0" fontId="21" fillId="8" borderId="0" xfId="0" applyFont="1" applyFill="1" applyAlignment="1">
      <alignment horizontal="center" vertical="center"/>
    </xf>
    <xf numFmtId="0" fontId="19" fillId="14" borderId="20" xfId="0" applyFont="1" applyFill="1" applyBorder="1" applyAlignment="1">
      <alignment horizontal="center" vertical="center" wrapText="1"/>
    </xf>
    <xf numFmtId="0" fontId="16" fillId="14" borderId="20" xfId="0" applyFont="1" applyFill="1" applyBorder="1" applyAlignment="1">
      <alignment vertical="top" wrapText="1"/>
    </xf>
    <xf numFmtId="0" fontId="19" fillId="14" borderId="20" xfId="0" applyFont="1" applyFill="1" applyBorder="1" applyAlignment="1">
      <alignment horizontal="center" vertical="top" wrapText="1"/>
    </xf>
    <xf numFmtId="0" fontId="16" fillId="0" borderId="20" xfId="0" applyFont="1" applyBorder="1" applyAlignment="1">
      <alignment vertical="top" wrapText="1"/>
    </xf>
    <xf numFmtId="0" fontId="19" fillId="0" borderId="20" xfId="0" applyFont="1" applyBorder="1" applyAlignment="1">
      <alignment horizontal="center" vertical="top" wrapText="1"/>
    </xf>
    <xf numFmtId="0" fontId="16" fillId="0" borderId="20" xfId="0" applyFont="1" applyBorder="1"/>
    <xf numFmtId="0" fontId="16" fillId="8" borderId="36" xfId="0" applyFont="1" applyFill="1" applyBorder="1" applyAlignment="1">
      <alignment horizontal="left" vertical="center" wrapText="1"/>
    </xf>
    <xf numFmtId="0" fontId="16" fillId="0" borderId="20" xfId="0" applyFont="1" applyBorder="1" applyAlignment="1">
      <alignment horizontal="center" vertical="top" wrapText="1"/>
    </xf>
    <xf numFmtId="0" fontId="21" fillId="0" borderId="36" xfId="0" applyFont="1" applyBorder="1" applyAlignment="1">
      <alignment vertical="top" wrapText="1"/>
    </xf>
    <xf numFmtId="0" fontId="16" fillId="0" borderId="36" xfId="0" applyFont="1" applyBorder="1" applyAlignment="1">
      <alignment vertical="top" wrapText="1"/>
    </xf>
    <xf numFmtId="8" fontId="16" fillId="0" borderId="0" xfId="0" applyNumberFormat="1" applyFont="1"/>
    <xf numFmtId="0" fontId="19" fillId="0" borderId="0" xfId="0" applyFont="1" applyAlignment="1">
      <alignment horizontal="center" vertical="top" wrapText="1"/>
    </xf>
    <xf numFmtId="0" fontId="16" fillId="0" borderId="0" xfId="0" applyFont="1" applyAlignment="1">
      <alignment vertical="top" wrapText="1"/>
    </xf>
    <xf numFmtId="14" fontId="16"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9" fillId="15" borderId="20" xfId="0" applyFont="1" applyFill="1" applyBorder="1" applyAlignment="1">
      <alignment horizontal="center" vertical="center" wrapText="1"/>
    </xf>
    <xf numFmtId="0" fontId="19" fillId="15" borderId="36" xfId="0" applyFont="1" applyFill="1" applyBorder="1" applyAlignment="1">
      <alignment vertical="center" wrapText="1"/>
    </xf>
    <xf numFmtId="0" fontId="19" fillId="15" borderId="20" xfId="0" applyFont="1" applyFill="1" applyBorder="1" applyAlignment="1">
      <alignment vertical="center" wrapText="1"/>
    </xf>
    <xf numFmtId="0" fontId="19" fillId="15" borderId="53" xfId="0" applyFont="1" applyFill="1" applyBorder="1" applyAlignment="1">
      <alignment horizontal="center" vertical="center" wrapText="1"/>
    </xf>
    <xf numFmtId="0" fontId="28" fillId="13" borderId="36" xfId="0" applyFont="1" applyFill="1" applyBorder="1" applyAlignment="1">
      <alignment wrapText="1"/>
    </xf>
    <xf numFmtId="0" fontId="28" fillId="13" borderId="20" xfId="0" applyFont="1" applyFill="1" applyBorder="1" applyAlignment="1">
      <alignment wrapText="1"/>
    </xf>
    <xf numFmtId="43" fontId="28" fillId="13" borderId="53" xfId="2" applyFont="1" applyFill="1" applyBorder="1" applyAlignment="1" applyProtection="1">
      <alignment horizontal="left" wrapText="1"/>
    </xf>
    <xf numFmtId="4" fontId="28" fillId="13" borderId="20" xfId="0" applyNumberFormat="1" applyFont="1" applyFill="1" applyBorder="1" applyAlignment="1">
      <alignment horizontal="right" vertical="top" wrapText="1"/>
    </xf>
    <xf numFmtId="0" fontId="16" fillId="0" borderId="36" xfId="0" applyFont="1" applyBorder="1" applyAlignment="1" applyProtection="1">
      <alignment wrapText="1"/>
      <protection locked="0"/>
    </xf>
    <xf numFmtId="9" fontId="16" fillId="0" borderId="20" xfId="0" applyNumberFormat="1" applyFont="1" applyBorder="1" applyAlignment="1" applyProtection="1">
      <alignment wrapText="1"/>
      <protection locked="0"/>
    </xf>
    <xf numFmtId="43" fontId="16" fillId="0" borderId="53" xfId="2" applyFont="1" applyFill="1" applyBorder="1" applyAlignment="1" applyProtection="1">
      <alignment horizontal="left" wrapText="1"/>
      <protection locked="0"/>
    </xf>
    <xf numFmtId="2" fontId="16" fillId="0" borderId="20" xfId="0" applyNumberFormat="1" applyFont="1" applyBorder="1" applyAlignment="1" applyProtection="1">
      <alignment horizontal="right" vertical="top" wrapText="1"/>
      <protection locked="0"/>
    </xf>
    <xf numFmtId="0" fontId="16" fillId="0" borderId="20" xfId="0" applyFont="1" applyBorder="1" applyAlignment="1" applyProtection="1">
      <alignment wrapText="1"/>
      <protection locked="0"/>
    </xf>
    <xf numFmtId="0" fontId="16" fillId="15" borderId="20" xfId="0" applyFont="1" applyFill="1" applyBorder="1" applyAlignment="1">
      <alignment horizontal="justify" vertical="top" wrapText="1"/>
    </xf>
    <xf numFmtId="0" fontId="19" fillId="15" borderId="53" xfId="0" applyFont="1" applyFill="1" applyBorder="1" applyAlignment="1">
      <alignment horizontal="left" vertical="top" wrapText="1"/>
    </xf>
    <xf numFmtId="4" fontId="19" fillId="15" borderId="20" xfId="0" applyNumberFormat="1" applyFont="1" applyFill="1" applyBorder="1" applyAlignment="1">
      <alignment vertical="center" wrapText="1"/>
    </xf>
    <xf numFmtId="0" fontId="20" fillId="15" borderId="20" xfId="0" applyFont="1" applyFill="1" applyBorder="1" applyAlignment="1">
      <alignment horizontal="center" vertical="center" wrapText="1"/>
    </xf>
    <xf numFmtId="0" fontId="20" fillId="15" borderId="53" xfId="0" applyFont="1" applyFill="1" applyBorder="1" applyAlignment="1">
      <alignment horizontal="center" vertical="top" wrapText="1"/>
    </xf>
    <xf numFmtId="0" fontId="20" fillId="15" borderId="20" xfId="0" applyFont="1" applyFill="1" applyBorder="1" applyAlignment="1">
      <alignment horizontal="center" vertical="center"/>
    </xf>
    <xf numFmtId="0" fontId="21" fillId="8" borderId="20" xfId="0" applyFont="1" applyFill="1" applyBorder="1" applyAlignment="1">
      <alignment horizontal="center" vertical="top" wrapText="1"/>
    </xf>
    <xf numFmtId="0" fontId="21" fillId="8" borderId="36" xfId="0" applyFont="1" applyFill="1" applyBorder="1" applyAlignment="1">
      <alignment horizontal="left" wrapText="1"/>
    </xf>
    <xf numFmtId="0" fontId="21" fillId="8" borderId="53" xfId="0" applyFont="1" applyFill="1" applyBorder="1" applyAlignment="1">
      <alignment horizontal="left" wrapText="1"/>
    </xf>
    <xf numFmtId="10" fontId="21" fillId="8" borderId="53" xfId="0" applyNumberFormat="1" applyFont="1" applyFill="1" applyBorder="1" applyAlignment="1">
      <alignment horizontal="center" vertical="center" wrapText="1"/>
    </xf>
    <xf numFmtId="43" fontId="21" fillId="0" borderId="20" xfId="2" applyFont="1" applyFill="1" applyBorder="1" applyAlignment="1" applyProtection="1">
      <alignment horizontal="center" vertical="center" wrapText="1"/>
    </xf>
    <xf numFmtId="10" fontId="21" fillId="8" borderId="53" xfId="0" applyNumberFormat="1" applyFont="1" applyFill="1" applyBorder="1" applyAlignment="1">
      <alignment horizontal="center" wrapText="1"/>
    </xf>
    <xf numFmtId="0" fontId="26" fillId="15" borderId="20" xfId="0" applyFont="1" applyFill="1" applyBorder="1" applyAlignment="1">
      <alignment horizontal="center"/>
    </xf>
    <xf numFmtId="10" fontId="29" fillId="15" borderId="20" xfId="0" applyNumberFormat="1" applyFont="1" applyFill="1" applyBorder="1" applyAlignment="1">
      <alignment horizontal="center" vertical="center"/>
    </xf>
    <xf numFmtId="43" fontId="29" fillId="15" borderId="20" xfId="2" applyFont="1" applyFill="1" applyBorder="1" applyAlignment="1">
      <alignment horizontal="center" vertical="center"/>
    </xf>
    <xf numFmtId="2" fontId="21" fillId="0" borderId="20" xfId="0" applyNumberFormat="1" applyFont="1" applyBorder="1" applyAlignment="1">
      <alignment horizontal="center" vertical="center" wrapText="1"/>
    </xf>
    <xf numFmtId="0" fontId="19" fillId="15" borderId="20" xfId="0" applyFont="1" applyFill="1" applyBorder="1" applyAlignment="1">
      <alignment horizontal="center"/>
    </xf>
    <xf numFmtId="0" fontId="16" fillId="8" borderId="20" xfId="0" applyFont="1" applyFill="1" applyBorder="1" applyAlignment="1">
      <alignment horizontal="center" vertical="center" wrapText="1"/>
    </xf>
    <xf numFmtId="10" fontId="16" fillId="0" borderId="20" xfId="3" applyNumberFormat="1" applyFont="1" applyFill="1" applyBorder="1" applyAlignment="1" applyProtection="1">
      <alignment horizontal="center"/>
      <protection locked="0"/>
    </xf>
    <xf numFmtId="2" fontId="16" fillId="0" borderId="20" xfId="0" applyNumberFormat="1" applyFont="1" applyBorder="1" applyAlignment="1">
      <alignment horizontal="right"/>
    </xf>
    <xf numFmtId="0" fontId="16" fillId="8" borderId="20" xfId="0" applyFont="1" applyFill="1" applyBorder="1" applyAlignment="1">
      <alignment horizontal="center" vertical="top" wrapText="1"/>
    </xf>
    <xf numFmtId="10" fontId="19" fillId="15" borderId="20" xfId="3" applyNumberFormat="1" applyFont="1" applyFill="1" applyBorder="1" applyAlignment="1" applyProtection="1">
      <alignment horizontal="center"/>
    </xf>
    <xf numFmtId="2" fontId="19" fillId="15" borderId="20" xfId="0" applyNumberFormat="1" applyFont="1" applyFill="1" applyBorder="1" applyAlignment="1">
      <alignment horizontal="right"/>
    </xf>
    <xf numFmtId="0" fontId="16" fillId="0" borderId="56" xfId="0" applyFont="1" applyBorder="1" applyAlignment="1">
      <alignment horizontal="left"/>
    </xf>
    <xf numFmtId="0" fontId="19" fillId="0" borderId="56" xfId="0" applyFont="1" applyBorder="1" applyAlignment="1">
      <alignment horizontal="left"/>
    </xf>
    <xf numFmtId="0" fontId="19" fillId="0" borderId="0" xfId="0" applyFont="1" applyAlignment="1">
      <alignment horizontal="left"/>
    </xf>
    <xf numFmtId="0" fontId="16" fillId="0" borderId="0" xfId="0" applyFont="1" applyAlignment="1">
      <alignment horizontal="left"/>
    </xf>
    <xf numFmtId="0" fontId="19" fillId="0" borderId="0" xfId="0" applyFont="1"/>
    <xf numFmtId="0" fontId="19" fillId="15" borderId="20" xfId="0" applyFont="1" applyFill="1" applyBorder="1" applyAlignment="1">
      <alignment horizontal="center" vertical="top" wrapText="1"/>
    </xf>
    <xf numFmtId="0" fontId="30" fillId="0" borderId="46" xfId="0" applyFont="1" applyBorder="1" applyAlignment="1">
      <alignment vertical="center" wrapText="1"/>
    </xf>
    <xf numFmtId="0" fontId="31" fillId="0" borderId="46" xfId="0" applyFont="1" applyBorder="1" applyAlignment="1">
      <alignment horizontal="center" vertical="center" wrapText="1"/>
    </xf>
    <xf numFmtId="7" fontId="31" fillId="0" borderId="46" xfId="2" applyNumberFormat="1" applyFont="1" applyBorder="1" applyAlignment="1">
      <alignment horizontal="right" vertical="center" wrapText="1"/>
    </xf>
    <xf numFmtId="7" fontId="16" fillId="0" borderId="0" xfId="0" applyNumberFormat="1" applyFont="1"/>
    <xf numFmtId="0" fontId="32" fillId="13" borderId="46" xfId="0" applyFont="1" applyFill="1" applyBorder="1" applyAlignment="1">
      <alignment vertical="center" wrapText="1"/>
    </xf>
    <xf numFmtId="7" fontId="32" fillId="13" borderId="46" xfId="2" applyNumberFormat="1" applyFont="1" applyFill="1" applyBorder="1" applyAlignment="1">
      <alignment horizontal="right" vertical="center" wrapText="1"/>
    </xf>
    <xf numFmtId="43" fontId="32" fillId="13" borderId="46" xfId="0" applyNumberFormat="1" applyFont="1" applyFill="1" applyBorder="1" applyAlignment="1">
      <alignment horizontal="center" vertical="center" wrapText="1"/>
    </xf>
    <xf numFmtId="0" fontId="31" fillId="0" borderId="46" xfId="0" applyFont="1" applyBorder="1" applyAlignment="1">
      <alignment vertical="center" wrapText="1"/>
    </xf>
    <xf numFmtId="44" fontId="33" fillId="0" borderId="53" xfId="8" applyFont="1" applyFill="1" applyBorder="1" applyAlignment="1" applyProtection="1">
      <alignment horizontal="right" wrapText="1"/>
      <protection locked="0"/>
    </xf>
    <xf numFmtId="44" fontId="34" fillId="0" borderId="20" xfId="8" applyFont="1" applyFill="1" applyBorder="1" applyAlignment="1" applyProtection="1">
      <alignment horizontal="center" vertical="top" wrapText="1"/>
      <protection locked="0"/>
    </xf>
    <xf numFmtId="0" fontId="16" fillId="0" borderId="53" xfId="0" applyFont="1" applyBorder="1" applyAlignment="1" applyProtection="1">
      <alignment horizontal="left" wrapText="1"/>
      <protection locked="0"/>
    </xf>
    <xf numFmtId="2" fontId="16" fillId="0" borderId="20" xfId="0" applyNumberFormat="1" applyFont="1" applyBorder="1" applyAlignment="1" applyProtection="1">
      <alignment horizontal="center" vertical="top" wrapText="1"/>
      <protection locked="0"/>
    </xf>
    <xf numFmtId="2" fontId="19" fillId="15" borderId="20" xfId="0" applyNumberFormat="1" applyFont="1" applyFill="1" applyBorder="1" applyAlignment="1">
      <alignment horizontal="center" vertical="top" wrapText="1"/>
    </xf>
    <xf numFmtId="0" fontId="16" fillId="8" borderId="0" xfId="0" applyFont="1" applyFill="1" applyAlignment="1">
      <alignment vertical="top" wrapText="1"/>
    </xf>
    <xf numFmtId="0" fontId="0" fillId="8" borderId="0" xfId="0" applyFill="1" applyAlignment="1">
      <alignment vertical="top" wrapText="1"/>
    </xf>
    <xf numFmtId="0" fontId="35" fillId="8" borderId="20" xfId="0" applyFont="1" applyFill="1" applyBorder="1" applyAlignment="1">
      <alignment horizontal="center" vertical="top" wrapText="1"/>
    </xf>
    <xf numFmtId="0" fontId="0" fillId="0" borderId="20" xfId="0" applyBorder="1" applyAlignment="1">
      <alignment horizontal="center" vertical="top" wrapText="1"/>
    </xf>
    <xf numFmtId="0" fontId="0" fillId="0" borderId="20" xfId="0" applyBorder="1" applyAlignment="1">
      <alignment horizontal="left" vertical="top" wrapText="1"/>
    </xf>
    <xf numFmtId="43" fontId="0" fillId="0" borderId="53" xfId="2" applyFont="1" applyFill="1" applyBorder="1" applyAlignment="1" applyProtection="1">
      <alignment horizontal="right" vertical="center" wrapText="1"/>
      <protection locked="0"/>
    </xf>
    <xf numFmtId="43" fontId="0" fillId="0" borderId="20" xfId="0" applyNumberFormat="1" applyBorder="1" applyAlignment="1">
      <alignment horizontal="right" vertical="top" wrapText="1"/>
    </xf>
    <xf numFmtId="43" fontId="35" fillId="15" borderId="20" xfId="0" applyNumberFormat="1" applyFont="1" applyFill="1" applyBorder="1" applyAlignment="1">
      <alignment horizontal="right" vertical="top" wrapText="1"/>
    </xf>
    <xf numFmtId="0" fontId="35" fillId="0" borderId="36" xfId="0" applyFont="1" applyBorder="1" applyAlignment="1">
      <alignment horizontal="center" vertical="top" wrapText="1"/>
    </xf>
    <xf numFmtId="0" fontId="35" fillId="0" borderId="52" xfId="0" applyFont="1" applyBorder="1" applyAlignment="1">
      <alignment horizontal="center" vertical="top" wrapText="1"/>
    </xf>
    <xf numFmtId="0" fontId="35" fillId="0" borderId="53" xfId="0" applyFont="1" applyBorder="1" applyAlignment="1">
      <alignment horizontal="center" vertical="top" wrapText="1"/>
    </xf>
    <xf numFmtId="43" fontId="35" fillId="0" borderId="20" xfId="0" applyNumberFormat="1" applyFont="1" applyBorder="1" applyAlignment="1">
      <alignment horizontal="right" vertical="top" wrapText="1"/>
    </xf>
    <xf numFmtId="2" fontId="16" fillId="0" borderId="20" xfId="0" applyNumberFormat="1" applyFont="1" applyBorder="1" applyAlignment="1">
      <alignment horizontal="center" vertical="top" wrapText="1"/>
    </xf>
    <xf numFmtId="0" fontId="16" fillId="8" borderId="36" xfId="0" applyFont="1" applyFill="1" applyBorder="1" applyAlignment="1">
      <alignment horizontal="left" wrapText="1"/>
    </xf>
    <xf numFmtId="0" fontId="16" fillId="0" borderId="36" xfId="0" applyFont="1" applyBorder="1" applyAlignment="1">
      <alignment horizontal="left" vertical="top" wrapText="1"/>
    </xf>
    <xf numFmtId="0" fontId="16" fillId="0" borderId="53" xfId="0" applyFont="1" applyBorder="1" applyAlignment="1">
      <alignment horizontal="left" vertical="top" wrapText="1"/>
    </xf>
    <xf numFmtId="0" fontId="16" fillId="15" borderId="20" xfId="0" applyFont="1" applyFill="1" applyBorder="1" applyAlignment="1">
      <alignment horizontal="center" vertical="top" wrapText="1"/>
    </xf>
    <xf numFmtId="4" fontId="19" fillId="15" borderId="20" xfId="0" applyNumberFormat="1" applyFont="1" applyFill="1" applyBorder="1" applyAlignment="1">
      <alignment horizontal="center" vertical="top" wrapText="1"/>
    </xf>
    <xf numFmtId="0" fontId="16" fillId="8" borderId="0" xfId="0" applyFont="1" applyFill="1" applyAlignment="1">
      <alignment horizontal="justify" vertical="top" wrapText="1"/>
    </xf>
    <xf numFmtId="0" fontId="19" fillId="8" borderId="0" xfId="0" applyFont="1" applyFill="1" applyAlignment="1">
      <alignment horizontal="left" vertical="top" wrapText="1"/>
    </xf>
    <xf numFmtId="2" fontId="19" fillId="8" borderId="0" xfId="0" applyNumberFormat="1" applyFont="1" applyFill="1" applyAlignment="1">
      <alignment horizontal="center" vertical="top" wrapText="1"/>
    </xf>
    <xf numFmtId="10" fontId="15" fillId="0" borderId="0" xfId="0" applyNumberFormat="1" applyFont="1"/>
    <xf numFmtId="0" fontId="19" fillId="15" borderId="36" xfId="0" applyFont="1" applyFill="1" applyBorder="1" applyAlignment="1">
      <alignment horizontal="center"/>
    </xf>
    <xf numFmtId="2" fontId="16" fillId="8" borderId="20" xfId="3" applyNumberFormat="1" applyFont="1" applyFill="1" applyBorder="1" applyAlignment="1" applyProtection="1">
      <alignment horizontal="center"/>
    </xf>
    <xf numFmtId="0" fontId="16" fillId="8" borderId="36" xfId="0" applyFont="1" applyFill="1" applyBorder="1" applyAlignment="1">
      <alignment horizontal="left" vertical="justify"/>
    </xf>
    <xf numFmtId="0" fontId="16" fillId="8" borderId="57" xfId="0" applyFont="1" applyFill="1" applyBorder="1" applyAlignment="1">
      <alignment wrapText="1"/>
    </xf>
    <xf numFmtId="0" fontId="16" fillId="8" borderId="20" xfId="0" applyFont="1" applyFill="1" applyBorder="1" applyAlignment="1">
      <alignment horizontal="center" wrapText="1"/>
    </xf>
    <xf numFmtId="10" fontId="21" fillId="0" borderId="20" xfId="3" applyNumberFormat="1" applyFont="1" applyFill="1" applyBorder="1" applyAlignment="1" applyProtection="1">
      <alignment horizontal="center"/>
    </xf>
    <xf numFmtId="10" fontId="21" fillId="0" borderId="20" xfId="3" applyNumberFormat="1" applyFont="1" applyFill="1" applyBorder="1" applyAlignment="1" applyProtection="1">
      <alignment horizontal="center"/>
      <protection locked="0"/>
    </xf>
    <xf numFmtId="2" fontId="19" fillId="15" borderId="20" xfId="3" applyNumberFormat="1" applyFont="1" applyFill="1" applyBorder="1" applyAlignment="1" applyProtection="1">
      <alignment horizontal="center"/>
    </xf>
    <xf numFmtId="10" fontId="16" fillId="0" borderId="0" xfId="0" applyNumberFormat="1" applyFont="1"/>
    <xf numFmtId="0" fontId="19" fillId="8" borderId="0" xfId="0" applyFont="1" applyFill="1" applyAlignment="1">
      <alignment vertical="top" wrapText="1"/>
    </xf>
    <xf numFmtId="43" fontId="19" fillId="8" borderId="0" xfId="2" applyFont="1" applyFill="1" applyBorder="1" applyAlignment="1" applyProtection="1">
      <alignment vertical="top" wrapText="1"/>
    </xf>
    <xf numFmtId="0" fontId="19" fillId="15" borderId="20" xfId="0" applyFont="1" applyFill="1" applyBorder="1" applyAlignment="1">
      <alignment horizontal="center" vertical="center"/>
    </xf>
    <xf numFmtId="10" fontId="19" fillId="15" borderId="53" xfId="0" applyNumberFormat="1" applyFont="1" applyFill="1" applyBorder="1" applyAlignment="1">
      <alignment horizontal="center"/>
    </xf>
    <xf numFmtId="0" fontId="26" fillId="0" borderId="20" xfId="0" applyFont="1" applyBorder="1" applyAlignment="1">
      <alignment horizontal="center"/>
    </xf>
    <xf numFmtId="10" fontId="29" fillId="0" borderId="20" xfId="0" applyNumberFormat="1" applyFont="1" applyBorder="1" applyAlignment="1">
      <alignment horizontal="center" vertical="center"/>
    </xf>
    <xf numFmtId="2" fontId="29" fillId="0" borderId="20" xfId="2" applyNumberFormat="1" applyFont="1" applyBorder="1" applyAlignment="1">
      <alignment horizontal="center" vertical="center"/>
    </xf>
    <xf numFmtId="0" fontId="36" fillId="0" borderId="0" xfId="0" applyFont="1" applyAlignment="1">
      <alignment horizontal="left" wrapText="1"/>
    </xf>
    <xf numFmtId="0" fontId="16" fillId="0" borderId="0" xfId="0" applyFont="1" applyAlignment="1">
      <alignment horizontal="left" wrapText="1"/>
    </xf>
    <xf numFmtId="0" fontId="16" fillId="0" borderId="20" xfId="0" applyFont="1" applyBorder="1" applyAlignment="1">
      <alignment horizontal="left" wrapText="1"/>
    </xf>
    <xf numFmtId="0" fontId="16" fillId="13" borderId="20" xfId="0" applyFont="1" applyFill="1" applyBorder="1" applyAlignment="1">
      <alignment horizontal="center" vertical="top" wrapText="1"/>
    </xf>
    <xf numFmtId="0" fontId="19" fillId="0" borderId="20" xfId="0" applyFont="1" applyBorder="1" applyAlignment="1">
      <alignment horizontal="center" vertical="center" wrapText="1"/>
    </xf>
    <xf numFmtId="0" fontId="19" fillId="0" borderId="20" xfId="0" applyFont="1" applyBorder="1" applyAlignment="1">
      <alignment horizontal="left" vertical="center" wrapText="1"/>
    </xf>
    <xf numFmtId="10" fontId="16" fillId="0" borderId="20" xfId="0" applyNumberFormat="1" applyFont="1" applyBorder="1" applyAlignment="1" applyProtection="1">
      <alignment horizontal="center" vertical="center" wrapText="1"/>
      <protection locked="0"/>
    </xf>
    <xf numFmtId="43" fontId="16" fillId="0" borderId="20" xfId="2" applyFont="1" applyFill="1" applyBorder="1" applyAlignment="1" applyProtection="1">
      <alignment horizontal="center" vertical="center" wrapText="1"/>
    </xf>
    <xf numFmtId="170" fontId="16" fillId="0" borderId="0" xfId="0" applyNumberFormat="1" applyFont="1"/>
    <xf numFmtId="0" fontId="19" fillId="0" borderId="20" xfId="0" applyFont="1" applyBorder="1" applyAlignment="1">
      <alignment vertical="top" wrapText="1"/>
    </xf>
    <xf numFmtId="10" fontId="16" fillId="0" borderId="20" xfId="0" applyNumberFormat="1" applyFont="1" applyBorder="1" applyAlignment="1" applyProtection="1">
      <alignment horizontal="center" vertical="top" wrapText="1"/>
      <protection locked="0"/>
    </xf>
    <xf numFmtId="0" fontId="19" fillId="0" borderId="36" xfId="0" applyFont="1" applyBorder="1" applyAlignment="1">
      <alignment vertical="top" wrapText="1"/>
    </xf>
    <xf numFmtId="0" fontId="19" fillId="0" borderId="52" xfId="0" applyFont="1" applyBorder="1" applyAlignment="1">
      <alignment vertical="top" wrapText="1"/>
    </xf>
    <xf numFmtId="43" fontId="19" fillId="0" borderId="53" xfId="2" applyFont="1" applyFill="1" applyBorder="1" applyAlignment="1" applyProtection="1">
      <alignment vertical="top" wrapText="1"/>
    </xf>
    <xf numFmtId="0" fontId="37" fillId="8" borderId="20" xfId="0" applyFont="1" applyFill="1" applyBorder="1" applyAlignment="1">
      <alignment horizontal="center" vertical="top" wrapText="1"/>
    </xf>
    <xf numFmtId="0" fontId="38" fillId="8" borderId="36" xfId="0" applyFont="1" applyFill="1" applyBorder="1" applyAlignment="1">
      <alignment vertical="top" wrapText="1"/>
    </xf>
    <xf numFmtId="0" fontId="21" fillId="0" borderId="52" xfId="0" applyFont="1" applyBorder="1"/>
    <xf numFmtId="43" fontId="21" fillId="0" borderId="53" xfId="2" applyFont="1" applyBorder="1" applyAlignment="1" applyProtection="1"/>
    <xf numFmtId="0" fontId="16" fillId="8" borderId="20" xfId="0" applyFont="1" applyFill="1" applyBorder="1" applyAlignment="1">
      <alignment vertical="top" wrapText="1"/>
    </xf>
    <xf numFmtId="0" fontId="16" fillId="0" borderId="52" xfId="0" applyFont="1" applyBorder="1" applyAlignment="1">
      <alignment vertical="top" wrapText="1"/>
    </xf>
    <xf numFmtId="43" fontId="16" fillId="8" borderId="53" xfId="2" applyFont="1" applyFill="1" applyBorder="1" applyAlignment="1" applyProtection="1">
      <alignment vertical="top" wrapText="1"/>
    </xf>
    <xf numFmtId="43" fontId="16" fillId="0" borderId="0" xfId="0" applyNumberFormat="1" applyFont="1"/>
    <xf numFmtId="0" fontId="37" fillId="8" borderId="20" xfId="0" applyFont="1" applyFill="1" applyBorder="1" applyAlignment="1">
      <alignment horizontal="center" vertical="center" wrapText="1"/>
    </xf>
    <xf numFmtId="0" fontId="16" fillId="8" borderId="20" xfId="0" applyFont="1" applyFill="1" applyBorder="1" applyAlignment="1" applyProtection="1">
      <alignment vertical="top" wrapText="1"/>
      <protection locked="0"/>
    </xf>
    <xf numFmtId="10" fontId="19" fillId="15" borderId="20" xfId="0" applyNumberFormat="1" applyFont="1" applyFill="1" applyBorder="1" applyAlignment="1">
      <alignment horizontal="center"/>
    </xf>
    <xf numFmtId="43" fontId="19" fillId="15" borderId="20" xfId="2" applyFont="1" applyFill="1" applyBorder="1" applyAlignment="1" applyProtection="1">
      <alignment horizontal="center"/>
    </xf>
    <xf numFmtId="10" fontId="39" fillId="8" borderId="0" xfId="0" applyNumberFormat="1" applyFont="1" applyFill="1" applyAlignment="1">
      <alignment horizontal="center"/>
    </xf>
    <xf numFmtId="2" fontId="40" fillId="8" borderId="0" xfId="0" applyNumberFormat="1" applyFont="1" applyFill="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left" vertical="top" wrapText="1"/>
    </xf>
    <xf numFmtId="4" fontId="16" fillId="0" borderId="20" xfId="2" applyNumberFormat="1" applyFont="1" applyBorder="1" applyAlignment="1" applyProtection="1">
      <alignment horizontal="center" vertical="center" wrapText="1"/>
    </xf>
    <xf numFmtId="4" fontId="16" fillId="0" borderId="20" xfId="2" applyNumberFormat="1" applyFont="1" applyFill="1" applyBorder="1" applyAlignment="1" applyProtection="1">
      <alignment horizontal="center" vertical="center" wrapText="1"/>
    </xf>
    <xf numFmtId="4" fontId="19" fillId="15" borderId="20" xfId="2" applyNumberFormat="1" applyFont="1" applyFill="1" applyBorder="1" applyAlignment="1" applyProtection="1">
      <alignment horizontal="center" vertical="center" wrapText="1"/>
    </xf>
    <xf numFmtId="0" fontId="36" fillId="0" borderId="20" xfId="0" applyFont="1" applyBorder="1" applyAlignment="1">
      <alignment horizontal="center" wrapText="1"/>
    </xf>
    <xf numFmtId="0" fontId="16" fillId="0" borderId="20" xfId="0" applyFont="1" applyBorder="1" applyAlignment="1">
      <alignment horizontal="left" vertical="center" wrapText="1"/>
    </xf>
    <xf numFmtId="4" fontId="16" fillId="0" borderId="20" xfId="2" applyNumberFormat="1" applyFont="1" applyFill="1" applyBorder="1" applyAlignment="1" applyProtection="1">
      <alignment horizontal="center" wrapText="1"/>
    </xf>
    <xf numFmtId="0" fontId="16" fillId="15" borderId="20" xfId="0" applyFont="1" applyFill="1" applyBorder="1" applyAlignment="1">
      <alignment horizontal="center" wrapText="1"/>
    </xf>
    <xf numFmtId="4" fontId="19" fillId="15" borderId="20" xfId="2" applyNumberFormat="1" applyFont="1" applyFill="1" applyBorder="1" applyAlignment="1" applyProtection="1">
      <alignment horizontal="center" vertical="top" wrapText="1"/>
    </xf>
    <xf numFmtId="4" fontId="15" fillId="0" borderId="0" xfId="0" applyNumberFormat="1" applyFont="1"/>
    <xf numFmtId="0" fontId="19" fillId="15" borderId="8" xfId="0" applyFont="1" applyFill="1" applyBorder="1" applyAlignment="1">
      <alignment vertical="center"/>
    </xf>
    <xf numFmtId="0" fontId="19" fillId="15" borderId="18" xfId="0" applyFont="1" applyFill="1" applyBorder="1" applyAlignment="1">
      <alignment horizontal="center" vertical="center" wrapText="1"/>
    </xf>
    <xf numFmtId="0" fontId="19" fillId="15" borderId="58" xfId="0" applyFont="1" applyFill="1" applyBorder="1" applyAlignment="1">
      <alignment horizontal="center" vertical="center" wrapText="1"/>
    </xf>
    <xf numFmtId="0" fontId="19" fillId="15" borderId="17" xfId="0" applyFont="1" applyFill="1" applyBorder="1" applyAlignment="1">
      <alignment horizontal="center" vertical="center" wrapText="1"/>
    </xf>
    <xf numFmtId="0" fontId="19" fillId="15" borderId="59" xfId="0" applyFont="1" applyFill="1" applyBorder="1" applyAlignment="1">
      <alignment horizontal="center" vertical="center"/>
    </xf>
    <xf numFmtId="0" fontId="19" fillId="15" borderId="30" xfId="0" applyFont="1" applyFill="1" applyBorder="1" applyAlignment="1">
      <alignment horizontal="center" vertical="center" wrapText="1"/>
    </xf>
    <xf numFmtId="0" fontId="19" fillId="15" borderId="59" xfId="0" applyFont="1" applyFill="1" applyBorder="1" applyAlignment="1">
      <alignment horizontal="center" vertical="center" wrapText="1"/>
    </xf>
    <xf numFmtId="0" fontId="19" fillId="15" borderId="30" xfId="0" applyFont="1" applyFill="1" applyBorder="1" applyAlignment="1">
      <alignment vertical="center" wrapText="1"/>
    </xf>
    <xf numFmtId="0" fontId="19" fillId="0" borderId="0" xfId="0" applyFont="1" applyAlignment="1">
      <alignment vertical="center" wrapText="1"/>
    </xf>
    <xf numFmtId="170" fontId="16" fillId="0" borderId="20" xfId="0" applyNumberFormat="1" applyFont="1" applyBorder="1" applyAlignment="1">
      <alignment horizontal="center" vertical="center"/>
    </xf>
    <xf numFmtId="0" fontId="16" fillId="0" borderId="36" xfId="0" applyFont="1" applyBorder="1" applyAlignment="1">
      <alignment horizontal="center" vertical="center"/>
    </xf>
    <xf numFmtId="170" fontId="16" fillId="0" borderId="20" xfId="0" applyNumberFormat="1" applyFont="1" applyBorder="1" applyAlignment="1">
      <alignment vertical="center"/>
    </xf>
    <xf numFmtId="170" fontId="16" fillId="0" borderId="0" xfId="0" applyNumberFormat="1" applyFont="1" applyAlignment="1">
      <alignment vertical="center"/>
    </xf>
    <xf numFmtId="0" fontId="19" fillId="0" borderId="20" xfId="0" applyFont="1" applyBorder="1" applyAlignment="1">
      <alignment horizontal="center"/>
    </xf>
    <xf numFmtId="0" fontId="16" fillId="0" borderId="20" xfId="0" applyFont="1" applyBorder="1" applyAlignment="1">
      <alignment horizontal="center"/>
    </xf>
    <xf numFmtId="0" fontId="18" fillId="8" borderId="0" xfId="0" applyFont="1" applyFill="1" applyAlignment="1">
      <alignment vertical="center"/>
    </xf>
    <xf numFmtId="7" fontId="31" fillId="0" borderId="46" xfId="0" applyNumberFormat="1" applyFont="1" applyBorder="1" applyAlignment="1">
      <alignment horizontal="center" vertical="center" wrapText="1"/>
    </xf>
    <xf numFmtId="0" fontId="16" fillId="8" borderId="36" xfId="0" applyFont="1" applyFill="1" applyBorder="1" applyAlignment="1">
      <alignment wrapText="1"/>
    </xf>
    <xf numFmtId="43" fontId="16" fillId="0" borderId="53" xfId="2" applyFont="1" applyFill="1" applyBorder="1" applyAlignment="1" applyProtection="1">
      <alignment horizontal="center" wrapText="1"/>
      <protection locked="0"/>
    </xf>
    <xf numFmtId="2" fontId="16" fillId="8" borderId="20" xfId="0" applyNumberFormat="1" applyFont="1" applyFill="1" applyBorder="1" applyAlignment="1">
      <alignment horizontal="center" vertical="top" wrapText="1"/>
    </xf>
    <xf numFmtId="43" fontId="19" fillId="15" borderId="20" xfId="2" applyFont="1" applyFill="1" applyBorder="1" applyAlignment="1" applyProtection="1">
      <alignment vertical="center" wrapText="1"/>
    </xf>
    <xf numFmtId="0" fontId="18" fillId="8" borderId="0" xfId="0" applyFont="1" applyFill="1" applyAlignment="1">
      <alignment horizontal="center" vertical="center"/>
    </xf>
    <xf numFmtId="0" fontId="18" fillId="8" borderId="43" xfId="0" applyFont="1" applyFill="1" applyBorder="1" applyAlignment="1">
      <alignment horizontal="center" vertical="center"/>
    </xf>
    <xf numFmtId="0" fontId="18" fillId="8" borderId="38"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1" xfId="0" applyFont="1" applyFill="1" applyBorder="1" applyAlignment="1">
      <alignment horizontal="center" vertical="center"/>
    </xf>
    <xf numFmtId="0" fontId="17" fillId="0" borderId="0" xfId="0" applyFont="1" applyAlignment="1">
      <alignment vertical="center"/>
    </xf>
    <xf numFmtId="0" fontId="18" fillId="8" borderId="20" xfId="0" applyFont="1" applyFill="1" applyBorder="1" applyAlignment="1">
      <alignment horizontal="center" vertical="center"/>
    </xf>
    <xf numFmtId="0" fontId="18" fillId="8" borderId="20" xfId="0" applyFont="1" applyFill="1" applyBorder="1" applyAlignment="1">
      <alignment vertical="center"/>
    </xf>
    <xf numFmtId="0" fontId="18" fillId="8" borderId="0" xfId="0" applyFont="1" applyFill="1" applyAlignment="1">
      <alignment horizontal="left" vertical="center"/>
    </xf>
    <xf numFmtId="0" fontId="41" fillId="0" borderId="20" xfId="0" applyFont="1" applyBorder="1" applyAlignment="1">
      <alignment horizontal="center" vertical="center"/>
    </xf>
    <xf numFmtId="0" fontId="41" fillId="0" borderId="36" xfId="0" applyFont="1" applyBorder="1" applyAlignment="1">
      <alignment horizontal="justify" vertical="center"/>
    </xf>
    <xf numFmtId="44" fontId="41" fillId="0" borderId="52" xfId="8" applyFont="1" applyFill="1" applyBorder="1" applyAlignment="1">
      <alignment horizontal="center" vertical="center"/>
    </xf>
    <xf numFmtId="0" fontId="3" fillId="0" borderId="52" xfId="0" applyFont="1" applyBorder="1" applyAlignment="1">
      <alignment horizontal="center" vertical="center"/>
    </xf>
    <xf numFmtId="44" fontId="3" fillId="0" borderId="53" xfId="8" applyFont="1" applyFill="1" applyBorder="1" applyAlignment="1">
      <alignment horizontal="center" vertical="center"/>
    </xf>
    <xf numFmtId="44" fontId="3" fillId="0" borderId="20" xfId="8" applyFont="1" applyFill="1" applyBorder="1" applyAlignment="1">
      <alignment horizontal="center" vertical="center"/>
    </xf>
    <xf numFmtId="0" fontId="41" fillId="14" borderId="20" xfId="0" applyFont="1" applyFill="1" applyBorder="1" applyAlignment="1">
      <alignment horizontal="center" vertical="center"/>
    </xf>
    <xf numFmtId="0" fontId="14" fillId="14" borderId="52" xfId="0" applyFont="1" applyFill="1" applyBorder="1" applyAlignment="1">
      <alignment horizontal="center" vertical="center"/>
    </xf>
    <xf numFmtId="44" fontId="3" fillId="14" borderId="20" xfId="8" applyFont="1" applyFill="1" applyBorder="1" applyAlignment="1">
      <alignment horizontal="center" vertical="center"/>
    </xf>
    <xf numFmtId="0" fontId="41" fillId="14" borderId="14" xfId="0" applyFont="1" applyFill="1" applyBorder="1" applyAlignment="1">
      <alignment horizontal="center" vertical="center"/>
    </xf>
    <xf numFmtId="0" fontId="14" fillId="14" borderId="35" xfId="0" applyFont="1" applyFill="1" applyBorder="1" applyAlignment="1">
      <alignment horizontal="center" vertical="center"/>
    </xf>
    <xf numFmtId="0" fontId="14" fillId="14" borderId="60" xfId="0" applyFont="1" applyFill="1" applyBorder="1" applyAlignment="1">
      <alignment horizontal="center" vertical="center"/>
    </xf>
    <xf numFmtId="0" fontId="14" fillId="14" borderId="61" xfId="0" applyFont="1" applyFill="1" applyBorder="1" applyAlignment="1">
      <alignment horizontal="center" vertical="center"/>
    </xf>
    <xf numFmtId="44" fontId="4" fillId="14" borderId="16" xfId="8" applyFont="1" applyFill="1" applyBorder="1" applyAlignment="1">
      <alignment horizontal="center" vertical="center"/>
    </xf>
    <xf numFmtId="44" fontId="18" fillId="8" borderId="0" xfId="0" applyNumberFormat="1" applyFont="1" applyFill="1" applyAlignment="1">
      <alignment horizontal="center" vertical="center"/>
    </xf>
    <xf numFmtId="0" fontId="41" fillId="14" borderId="19" xfId="0" applyFont="1" applyFill="1" applyBorder="1" applyAlignment="1">
      <alignment horizontal="center" vertical="center"/>
    </xf>
    <xf numFmtId="44" fontId="3" fillId="14" borderId="21" xfId="8" applyFont="1" applyFill="1" applyBorder="1" applyAlignment="1">
      <alignment horizontal="center" vertical="center"/>
    </xf>
    <xf numFmtId="0" fontId="18" fillId="8" borderId="19" xfId="0" applyFont="1" applyFill="1" applyBorder="1" applyAlignment="1">
      <alignment horizontal="center" vertical="center"/>
    </xf>
    <xf numFmtId="0" fontId="42" fillId="0" borderId="20" xfId="0" applyFont="1" applyBorder="1" applyAlignment="1">
      <alignment horizontal="justify" vertical="center"/>
    </xf>
    <xf numFmtId="44" fontId="18" fillId="8" borderId="20" xfId="8" applyFont="1" applyFill="1" applyBorder="1" applyAlignment="1">
      <alignment horizontal="center" vertical="center"/>
    </xf>
    <xf numFmtId="0" fontId="1" fillId="8" borderId="20" xfId="0" applyFont="1" applyFill="1" applyBorder="1" applyAlignment="1">
      <alignment horizontal="center" vertical="center"/>
    </xf>
    <xf numFmtId="44" fontId="1" fillId="8" borderId="20" xfId="8" applyFont="1" applyFill="1" applyBorder="1" applyAlignment="1">
      <alignment horizontal="center" vertical="center"/>
    </xf>
    <xf numFmtId="44" fontId="1" fillId="8" borderId="21" xfId="8" applyFont="1" applyFill="1" applyBorder="1" applyAlignment="1">
      <alignment horizontal="center" vertical="center"/>
    </xf>
    <xf numFmtId="0" fontId="18" fillId="14" borderId="19" xfId="0" applyFont="1" applyFill="1" applyBorder="1" applyAlignment="1">
      <alignment horizontal="center" vertical="center"/>
    </xf>
    <xf numFmtId="0" fontId="43" fillId="14" borderId="20" xfId="0" applyFont="1" applyFill="1" applyBorder="1" applyAlignment="1">
      <alignment horizontal="justify" vertical="center"/>
    </xf>
    <xf numFmtId="44" fontId="18" fillId="14" borderId="20" xfId="8" applyFont="1" applyFill="1" applyBorder="1" applyAlignment="1">
      <alignment horizontal="center" vertical="center"/>
    </xf>
    <xf numFmtId="0" fontId="1" fillId="14" borderId="20" xfId="0" applyFont="1" applyFill="1" applyBorder="1" applyAlignment="1">
      <alignment horizontal="center" vertical="center"/>
    </xf>
    <xf numFmtId="44" fontId="1" fillId="14" borderId="20" xfId="8" applyFont="1" applyFill="1" applyBorder="1" applyAlignment="1">
      <alignment horizontal="center" vertical="center"/>
    </xf>
    <xf numFmtId="44" fontId="1" fillId="14" borderId="21" xfId="8" applyFont="1" applyFill="1" applyBorder="1" applyAlignment="1">
      <alignment horizontal="center" vertical="center"/>
    </xf>
    <xf numFmtId="0" fontId="41" fillId="0" borderId="6" xfId="0" applyFont="1" applyBorder="1" applyAlignment="1">
      <alignment horizontal="center" vertical="center"/>
    </xf>
    <xf numFmtId="0" fontId="41" fillId="0" borderId="37" xfId="0" applyFont="1" applyBorder="1" applyAlignment="1">
      <alignment horizontal="justify" vertical="center"/>
    </xf>
    <xf numFmtId="44" fontId="7" fillId="13" borderId="7" xfId="8" applyFont="1" applyFill="1" applyBorder="1" applyAlignment="1">
      <alignment horizontal="center" vertical="center"/>
    </xf>
    <xf numFmtId="0" fontId="18" fillId="14" borderId="20" xfId="0" applyFont="1" applyFill="1" applyBorder="1" applyAlignment="1">
      <alignment horizontal="center" vertical="center"/>
    </xf>
    <xf numFmtId="44" fontId="4" fillId="14" borderId="20" xfId="8" applyFont="1" applyFill="1" applyBorder="1" applyAlignment="1">
      <alignment horizontal="center" vertical="center"/>
    </xf>
    <xf numFmtId="0" fontId="14" fillId="14" borderId="20" xfId="0" applyFont="1" applyFill="1" applyBorder="1" applyAlignment="1">
      <alignment horizontal="center" vertical="center"/>
    </xf>
    <xf numFmtId="0" fontId="14" fillId="14" borderId="20" xfId="0" applyFont="1" applyFill="1" applyBorder="1" applyAlignment="1">
      <alignment horizontal="center" vertical="center" wrapText="1"/>
    </xf>
    <xf numFmtId="0" fontId="43" fillId="0" borderId="20" xfId="0" applyFont="1" applyBorder="1" applyAlignment="1">
      <alignment horizontal="justify" vertical="center"/>
    </xf>
    <xf numFmtId="0" fontId="42" fillId="0" borderId="36" xfId="0" applyFont="1" applyBorder="1" applyAlignment="1">
      <alignment horizontal="justify" vertical="center"/>
    </xf>
    <xf numFmtId="0" fontId="43" fillId="0" borderId="36" xfId="0" applyFont="1" applyBorder="1" applyAlignment="1">
      <alignment horizontal="justify" vertical="center"/>
    </xf>
    <xf numFmtId="44" fontId="18" fillId="8" borderId="52" xfId="8" applyFont="1" applyFill="1" applyBorder="1" applyAlignment="1">
      <alignment horizontal="center" vertical="center"/>
    </xf>
    <xf numFmtId="0" fontId="1" fillId="8" borderId="53" xfId="0" applyFont="1" applyFill="1" applyBorder="1" applyAlignment="1">
      <alignment horizontal="center" vertical="center"/>
    </xf>
    <xf numFmtId="0" fontId="18" fillId="13" borderId="20" xfId="0" applyFont="1" applyFill="1" applyBorder="1" applyAlignment="1">
      <alignment horizontal="center" vertical="center"/>
    </xf>
    <xf numFmtId="44" fontId="1" fillId="13" borderId="20" xfId="8" applyFont="1" applyFill="1" applyBorder="1" applyAlignment="1">
      <alignment horizontal="center" vertical="center"/>
    </xf>
    <xf numFmtId="0" fontId="18" fillId="8" borderId="57" xfId="0" applyFont="1" applyFill="1" applyBorder="1" applyAlignment="1">
      <alignment horizontal="center" vertical="center"/>
    </xf>
    <xf numFmtId="0" fontId="18" fillId="8" borderId="56" xfId="0" applyFont="1" applyFill="1" applyBorder="1" applyAlignment="1">
      <alignment horizontal="center" vertical="center"/>
    </xf>
    <xf numFmtId="0" fontId="18" fillId="8" borderId="62" xfId="0" applyFont="1" applyFill="1" applyBorder="1" applyAlignment="1">
      <alignment horizontal="center" vertical="center"/>
    </xf>
    <xf numFmtId="0" fontId="18" fillId="8" borderId="31"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59" xfId="0" applyFont="1" applyFill="1" applyBorder="1" applyAlignment="1">
      <alignment horizontal="center" vertical="center"/>
    </xf>
    <xf numFmtId="0" fontId="18" fillId="8" borderId="55" xfId="0" applyFont="1" applyFill="1" applyBorder="1" applyAlignment="1">
      <alignment horizontal="center" vertical="center"/>
    </xf>
    <xf numFmtId="0" fontId="4" fillId="8" borderId="20" xfId="0" applyFont="1" applyFill="1" applyBorder="1" applyAlignment="1">
      <alignment horizontal="center" vertical="center"/>
    </xf>
    <xf numFmtId="0" fontId="4" fillId="8" borderId="20" xfId="0" applyFont="1" applyFill="1" applyBorder="1" applyAlignment="1">
      <alignment horizontal="center" vertical="center" wrapText="1"/>
    </xf>
    <xf numFmtId="0" fontId="18" fillId="8" borderId="0" xfId="0" applyFont="1" applyFill="1" applyAlignment="1">
      <alignment horizontal="center" vertical="center" wrapText="1"/>
    </xf>
    <xf numFmtId="0" fontId="46" fillId="8" borderId="20"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1" fillId="8" borderId="36" xfId="0" applyFont="1" applyFill="1" applyBorder="1" applyAlignment="1">
      <alignment horizontal="center" vertical="center"/>
    </xf>
    <xf numFmtId="0" fontId="3" fillId="8" borderId="52" xfId="0" applyFont="1" applyFill="1" applyBorder="1" applyAlignment="1">
      <alignment horizontal="left" vertical="center" wrapText="1"/>
    </xf>
    <xf numFmtId="0" fontId="46" fillId="8" borderId="52" xfId="0" applyFont="1" applyFill="1" applyBorder="1" applyAlignment="1">
      <alignment horizontal="left" vertical="center" wrapText="1"/>
    </xf>
    <xf numFmtId="44" fontId="1" fillId="8" borderId="52" xfId="8" applyFont="1" applyFill="1" applyBorder="1" applyAlignment="1">
      <alignment horizontal="center" vertical="center"/>
    </xf>
    <xf numFmtId="0" fontId="1" fillId="8" borderId="52" xfId="0" applyFont="1" applyFill="1" applyBorder="1" applyAlignment="1">
      <alignment horizontal="center" vertical="center"/>
    </xf>
    <xf numFmtId="44" fontId="1" fillId="8" borderId="53" xfId="8" applyFont="1" applyFill="1" applyBorder="1" applyAlignment="1">
      <alignment horizontal="center" vertical="center"/>
    </xf>
    <xf numFmtId="44" fontId="4" fillId="8" borderId="20" xfId="8" applyFont="1" applyFill="1" applyBorder="1" applyAlignment="1">
      <alignment horizontal="center" vertical="center"/>
    </xf>
    <xf numFmtId="0" fontId="55" fillId="16" borderId="20" xfId="0" applyFont="1" applyFill="1" applyBorder="1" applyAlignment="1">
      <alignment horizontal="center" vertical="center" wrapText="1"/>
    </xf>
    <xf numFmtId="0" fontId="56" fillId="16" borderId="46" xfId="0" applyFont="1" applyFill="1" applyBorder="1" applyAlignment="1">
      <alignment vertical="center" wrapText="1"/>
    </xf>
    <xf numFmtId="7" fontId="56" fillId="16" borderId="46" xfId="0" applyNumberFormat="1" applyFont="1" applyFill="1" applyBorder="1" applyAlignment="1">
      <alignment horizontal="center" vertical="center" wrapText="1"/>
    </xf>
    <xf numFmtId="7" fontId="56" fillId="16" borderId="46" xfId="2" applyNumberFormat="1" applyFont="1" applyFill="1" applyBorder="1" applyAlignment="1">
      <alignment horizontal="right" vertical="center" wrapText="1"/>
    </xf>
    <xf numFmtId="170" fontId="12" fillId="0" borderId="30" xfId="16" applyNumberFormat="1" applyFont="1" applyBorder="1"/>
    <xf numFmtId="0" fontId="58" fillId="16" borderId="20" xfId="0" applyFont="1" applyFill="1" applyBorder="1" applyAlignment="1">
      <alignment horizontal="center" vertical="top" wrapText="1"/>
    </xf>
    <xf numFmtId="0" fontId="12" fillId="0" borderId="20" xfId="0" applyFont="1" applyBorder="1" applyAlignment="1">
      <alignment horizontal="center"/>
    </xf>
    <xf numFmtId="0" fontId="12" fillId="0" borderId="30" xfId="0" applyFont="1" applyBorder="1" applyAlignment="1">
      <alignment horizontal="center"/>
    </xf>
    <xf numFmtId="0" fontId="58" fillId="16" borderId="20" xfId="0" applyFont="1" applyFill="1" applyBorder="1" applyAlignment="1">
      <alignment horizontal="center" vertical="center" wrapText="1"/>
    </xf>
    <xf numFmtId="0" fontId="58" fillId="16" borderId="36" xfId="0" applyFont="1" applyFill="1" applyBorder="1"/>
    <xf numFmtId="0" fontId="58" fillId="16" borderId="53" xfId="0" applyFont="1" applyFill="1" applyBorder="1" applyAlignment="1" applyProtection="1">
      <alignment horizontal="left" wrapText="1"/>
      <protection locked="0"/>
    </xf>
    <xf numFmtId="172" fontId="58" fillId="16" borderId="20" xfId="3" applyNumberFormat="1" applyFont="1" applyFill="1" applyBorder="1" applyAlignment="1" applyProtection="1">
      <alignment horizontal="center"/>
      <protection locked="0"/>
    </xf>
    <xf numFmtId="2" fontId="58" fillId="16" borderId="20" xfId="3" applyNumberFormat="1" applyFont="1" applyFill="1" applyBorder="1" applyAlignment="1" applyProtection="1">
      <alignment horizontal="center"/>
    </xf>
    <xf numFmtId="0" fontId="58" fillId="16" borderId="57" xfId="0" applyFont="1" applyFill="1" applyBorder="1" applyAlignment="1">
      <alignment wrapText="1"/>
    </xf>
    <xf numFmtId="10" fontId="58" fillId="16" borderId="20" xfId="3" applyNumberFormat="1" applyFont="1" applyFill="1" applyBorder="1" applyAlignment="1" applyProtection="1">
      <alignment horizontal="center"/>
      <protection locked="0"/>
    </xf>
    <xf numFmtId="169" fontId="12" fillId="16" borderId="20" xfId="2" applyNumberFormat="1" applyFont="1" applyFill="1" applyBorder="1" applyAlignment="1">
      <alignment horizontal="center" vertical="center" wrapText="1"/>
    </xf>
    <xf numFmtId="44" fontId="59" fillId="6" borderId="20" xfId="8" applyFont="1" applyFill="1" applyBorder="1" applyAlignment="1">
      <alignment vertical="center"/>
    </xf>
    <xf numFmtId="43" fontId="12" fillId="16" borderId="20" xfId="2" applyFont="1" applyFill="1" applyBorder="1" applyAlignment="1">
      <alignment horizontal="center" vertical="center" wrapText="1"/>
    </xf>
    <xf numFmtId="43" fontId="12" fillId="16" borderId="20" xfId="0" applyNumberFormat="1" applyFont="1" applyFill="1" applyBorder="1" applyAlignment="1">
      <alignment horizontal="right" vertical="center" wrapText="1"/>
    </xf>
    <xf numFmtId="43" fontId="12" fillId="16" borderId="20" xfId="15" applyFont="1" applyFill="1" applyBorder="1" applyAlignment="1">
      <alignment horizontal="right" vertical="center"/>
    </xf>
    <xf numFmtId="43" fontId="12" fillId="13" borderId="20" xfId="2" applyFont="1" applyFill="1" applyBorder="1" applyAlignment="1">
      <alignment horizontal="center" vertical="center" wrapText="1"/>
    </xf>
    <xf numFmtId="43" fontId="12" fillId="16" borderId="20" xfId="0" applyNumberFormat="1" applyFont="1" applyFill="1" applyBorder="1" applyAlignment="1">
      <alignment vertical="center"/>
    </xf>
    <xf numFmtId="43" fontId="11" fillId="0" borderId="0" xfId="0" applyNumberFormat="1" applyFont="1" applyAlignment="1">
      <alignment vertical="center"/>
    </xf>
    <xf numFmtId="0" fontId="12" fillId="0" borderId="20" xfId="0" applyFont="1" applyBorder="1" applyAlignment="1">
      <alignment horizontal="left" vertical="center" wrapText="1"/>
    </xf>
    <xf numFmtId="168" fontId="12" fillId="0" borderId="20" xfId="0" applyNumberFormat="1" applyFont="1" applyBorder="1" applyAlignment="1">
      <alignment horizontal="center" vertical="center" wrapText="1"/>
    </xf>
    <xf numFmtId="0" fontId="12" fillId="0" borderId="0" xfId="0" applyFont="1"/>
    <xf numFmtId="44" fontId="11" fillId="0" borderId="0" xfId="0" applyNumberFormat="1" applyFont="1"/>
    <xf numFmtId="0" fontId="45" fillId="14" borderId="36" xfId="0" applyFont="1" applyFill="1" applyBorder="1" applyAlignment="1">
      <alignment horizontal="center"/>
    </xf>
    <xf numFmtId="0" fontId="45" fillId="14" borderId="52" xfId="0" applyFont="1" applyFill="1" applyBorder="1" applyAlignment="1">
      <alignment horizontal="center"/>
    </xf>
    <xf numFmtId="0" fontId="45" fillId="14" borderId="53" xfId="0" applyFont="1" applyFill="1" applyBorder="1" applyAlignment="1">
      <alignment horizontal="center"/>
    </xf>
    <xf numFmtId="0" fontId="4" fillId="8" borderId="36" xfId="0" applyFont="1" applyFill="1" applyBorder="1" applyAlignment="1">
      <alignment horizontal="center" vertical="center"/>
    </xf>
    <xf numFmtId="0" fontId="4" fillId="8" borderId="52" xfId="0" applyFont="1" applyFill="1" applyBorder="1" applyAlignment="1">
      <alignment horizontal="center" vertical="center"/>
    </xf>
    <xf numFmtId="0" fontId="4" fillId="8" borderId="53" xfId="0" applyFont="1" applyFill="1" applyBorder="1" applyAlignment="1">
      <alignment horizontal="center" vertical="center"/>
    </xf>
    <xf numFmtId="0" fontId="18" fillId="8" borderId="0" xfId="0" applyFont="1" applyFill="1" applyAlignment="1">
      <alignment horizontal="center" vertical="center"/>
    </xf>
    <xf numFmtId="49" fontId="20" fillId="8" borderId="36" xfId="0" applyNumberFormat="1" applyFont="1" applyFill="1" applyBorder="1" applyAlignment="1">
      <alignment horizontal="left" vertical="center"/>
    </xf>
    <xf numFmtId="49" fontId="20" fillId="8" borderId="52" xfId="0" applyNumberFormat="1" applyFont="1" applyFill="1" applyBorder="1" applyAlignment="1">
      <alignment horizontal="left" vertical="center"/>
    </xf>
    <xf numFmtId="49" fontId="20" fillId="8" borderId="53" xfId="0" applyNumberFormat="1" applyFont="1" applyFill="1" applyBorder="1" applyAlignment="1">
      <alignment horizontal="left" vertical="center"/>
    </xf>
    <xf numFmtId="0" fontId="12" fillId="0" borderId="0" xfId="0" applyFont="1" applyAlignment="1">
      <alignment horizontal="center" vertical="center"/>
    </xf>
    <xf numFmtId="0" fontId="12" fillId="0" borderId="63" xfId="0" applyFont="1" applyBorder="1" applyAlignment="1">
      <alignment horizontal="center" vertical="center"/>
    </xf>
    <xf numFmtId="0" fontId="13" fillId="0" borderId="55" xfId="0" applyFont="1" applyBorder="1" applyAlignment="1">
      <alignment horizontal="center" vertical="center"/>
    </xf>
    <xf numFmtId="0" fontId="13" fillId="0" borderId="64" xfId="0" applyFont="1" applyBorder="1" applyAlignment="1">
      <alignment horizontal="center" vertical="center"/>
    </xf>
    <xf numFmtId="0" fontId="18" fillId="8" borderId="36" xfId="0" applyFont="1" applyFill="1" applyBorder="1" applyAlignment="1">
      <alignment horizontal="left" vertical="center"/>
    </xf>
    <xf numFmtId="0" fontId="18" fillId="8" borderId="52" xfId="0" applyFont="1" applyFill="1" applyBorder="1" applyAlignment="1">
      <alignment horizontal="left" vertical="center"/>
    </xf>
    <xf numFmtId="0" fontId="18" fillId="8" borderId="53" xfId="0" applyFont="1" applyFill="1" applyBorder="1" applyAlignment="1">
      <alignment horizontal="left" vertical="center"/>
    </xf>
    <xf numFmtId="0" fontId="18" fillId="8" borderId="20" xfId="0" applyFont="1" applyFill="1" applyBorder="1" applyAlignment="1">
      <alignment horizontal="left" vertical="center"/>
    </xf>
    <xf numFmtId="44" fontId="44" fillId="13" borderId="36" xfId="8" applyFont="1" applyFill="1" applyBorder="1" applyAlignment="1">
      <alignment horizontal="center" vertical="center"/>
    </xf>
    <xf numFmtId="44" fontId="44" fillId="13" borderId="52" xfId="8" applyFont="1" applyFill="1" applyBorder="1" applyAlignment="1">
      <alignment horizontal="center" vertical="center"/>
    </xf>
    <xf numFmtId="44" fontId="44" fillId="13" borderId="53" xfId="8" applyFont="1" applyFill="1" applyBorder="1" applyAlignment="1">
      <alignment horizontal="center" vertical="center"/>
    </xf>
    <xf numFmtId="0" fontId="14" fillId="14" borderId="36" xfId="0" applyFont="1" applyFill="1" applyBorder="1" applyAlignment="1">
      <alignment horizontal="center" vertical="center"/>
    </xf>
    <xf numFmtId="0" fontId="14" fillId="14" borderId="52" xfId="0" applyFont="1" applyFill="1" applyBorder="1" applyAlignment="1">
      <alignment horizontal="center" vertical="center"/>
    </xf>
    <xf numFmtId="0" fontId="14" fillId="14" borderId="53" xfId="0" applyFont="1" applyFill="1" applyBorder="1" applyAlignment="1">
      <alignment horizontal="center" vertical="center"/>
    </xf>
    <xf numFmtId="0" fontId="18" fillId="13" borderId="36" xfId="0" applyFont="1" applyFill="1" applyBorder="1" applyAlignment="1">
      <alignment horizontal="center" vertical="center"/>
    </xf>
    <xf numFmtId="0" fontId="18" fillId="13" borderId="52" xfId="0" applyFont="1" applyFill="1" applyBorder="1" applyAlignment="1">
      <alignment horizontal="center" vertical="center"/>
    </xf>
    <xf numFmtId="0" fontId="18" fillId="13" borderId="53" xfId="0" applyFont="1" applyFill="1" applyBorder="1" applyAlignment="1">
      <alignment horizontal="center" vertical="center"/>
    </xf>
    <xf numFmtId="0" fontId="12" fillId="0" borderId="54" xfId="0" applyFont="1" applyBorder="1" applyAlignment="1">
      <alignment horizontal="center" vertical="center"/>
    </xf>
    <xf numFmtId="0" fontId="13" fillId="0" borderId="0" xfId="0" applyFont="1" applyAlignment="1">
      <alignment horizontal="center" vertical="center"/>
    </xf>
    <xf numFmtId="0" fontId="13" fillId="0" borderId="54" xfId="0" applyFont="1" applyBorder="1" applyAlignment="1">
      <alignment horizontal="center" vertical="center"/>
    </xf>
    <xf numFmtId="0" fontId="19" fillId="0" borderId="0" xfId="0" applyFont="1" applyAlignment="1">
      <alignment horizontal="center"/>
    </xf>
    <xf numFmtId="0" fontId="12" fillId="0" borderId="38" xfId="0" applyFont="1" applyBorder="1" applyAlignment="1">
      <alignment horizontal="center" vertical="center"/>
    </xf>
    <xf numFmtId="0" fontId="12" fillId="0" borderId="44"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wrapText="1"/>
    </xf>
    <xf numFmtId="0" fontId="19" fillId="0" borderId="36" xfId="0" applyFont="1" applyBorder="1" applyAlignment="1">
      <alignment horizontal="center" vertical="top" wrapText="1"/>
    </xf>
    <xf numFmtId="0" fontId="19" fillId="0" borderId="53" xfId="0" applyFont="1" applyBorder="1" applyAlignment="1">
      <alignment horizontal="center" vertical="top" wrapText="1"/>
    </xf>
    <xf numFmtId="0" fontId="19" fillId="0" borderId="0" xfId="0" applyFont="1" applyAlignment="1">
      <alignment horizontal="center" vertical="center"/>
    </xf>
    <xf numFmtId="0" fontId="19" fillId="15" borderId="36" xfId="0" applyFont="1" applyFill="1" applyBorder="1" applyAlignment="1">
      <alignment horizontal="left" vertical="center"/>
    </xf>
    <xf numFmtId="0" fontId="19" fillId="15" borderId="52" xfId="0" applyFont="1" applyFill="1" applyBorder="1" applyAlignment="1">
      <alignment horizontal="left" vertical="center"/>
    </xf>
    <xf numFmtId="0" fontId="19" fillId="15" borderId="53" xfId="0" applyFont="1" applyFill="1" applyBorder="1" applyAlignment="1">
      <alignment horizontal="left" vertical="center"/>
    </xf>
    <xf numFmtId="0" fontId="16" fillId="0" borderId="20" xfId="0" applyFont="1" applyBorder="1" applyAlignment="1">
      <alignment horizontal="center" vertical="top" wrapText="1"/>
    </xf>
    <xf numFmtId="0" fontId="16" fillId="0" borderId="36" xfId="0" applyFont="1" applyBorder="1" applyAlignment="1">
      <alignment horizontal="center" vertical="top" wrapText="1"/>
    </xf>
    <xf numFmtId="0" fontId="16" fillId="0" borderId="21" xfId="0" applyFont="1" applyBorder="1" applyAlignment="1">
      <alignment horizontal="center" vertical="top" wrapText="1"/>
    </xf>
    <xf numFmtId="0" fontId="16" fillId="0" borderId="36" xfId="0" applyFont="1" applyBorder="1" applyAlignment="1">
      <alignment horizontal="left" vertical="top"/>
    </xf>
    <xf numFmtId="0" fontId="16" fillId="0" borderId="52" xfId="0" applyFont="1" applyBorder="1" applyAlignment="1">
      <alignment horizontal="left" vertical="top"/>
    </xf>
    <xf numFmtId="0" fontId="16" fillId="0" borderId="53" xfId="0" applyFont="1" applyBorder="1" applyAlignment="1">
      <alignment horizontal="left" vertical="top"/>
    </xf>
    <xf numFmtId="0" fontId="23" fillId="0" borderId="36" xfId="0" applyFont="1" applyBorder="1" applyAlignment="1">
      <alignment horizontal="left" vertical="center"/>
    </xf>
    <xf numFmtId="0" fontId="23" fillId="0" borderId="52" xfId="0" applyFont="1" applyBorder="1" applyAlignment="1">
      <alignment horizontal="left" vertical="center"/>
    </xf>
    <xf numFmtId="0" fontId="23" fillId="0" borderId="53" xfId="0" applyFont="1" applyBorder="1" applyAlignment="1">
      <alignment horizontal="left" vertical="center"/>
    </xf>
    <xf numFmtId="0" fontId="11" fillId="0" borderId="36" xfId="0" applyFont="1" applyBorder="1" applyAlignment="1">
      <alignment horizontal="left" vertical="top"/>
    </xf>
    <xf numFmtId="0" fontId="11" fillId="0" borderId="52" xfId="0" applyFont="1" applyBorder="1" applyAlignment="1">
      <alignment horizontal="left" vertical="top"/>
    </xf>
    <xf numFmtId="0" fontId="11" fillId="0" borderId="53" xfId="0" applyFont="1" applyBorder="1" applyAlignment="1">
      <alignment horizontal="left" vertical="top"/>
    </xf>
    <xf numFmtId="0" fontId="26" fillId="0" borderId="36"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19" fillId="14" borderId="36" xfId="0" applyFont="1" applyFill="1" applyBorder="1" applyAlignment="1">
      <alignment horizontal="center" vertical="top" wrapText="1"/>
    </xf>
    <xf numFmtId="0" fontId="19" fillId="14" borderId="53" xfId="0" applyFont="1" applyFill="1" applyBorder="1" applyAlignment="1">
      <alignment horizontal="center" vertical="top" wrapText="1"/>
    </xf>
    <xf numFmtId="0" fontId="19" fillId="15" borderId="36" xfId="0" applyFont="1" applyFill="1" applyBorder="1" applyAlignment="1">
      <alignment horizontal="left" vertical="top" wrapText="1"/>
    </xf>
    <xf numFmtId="0" fontId="19" fillId="15" borderId="53" xfId="0" applyFont="1" applyFill="1" applyBorder="1" applyAlignment="1">
      <alignment horizontal="left" vertical="top" wrapText="1"/>
    </xf>
    <xf numFmtId="0" fontId="19" fillId="0" borderId="55" xfId="0" applyFont="1" applyBorder="1" applyAlignment="1">
      <alignment horizontal="center"/>
    </xf>
    <xf numFmtId="0" fontId="20" fillId="15" borderId="36" xfId="0" applyFont="1" applyFill="1" applyBorder="1" applyAlignment="1">
      <alignment horizontal="left" vertical="top" wrapText="1"/>
    </xf>
    <xf numFmtId="0" fontId="20" fillId="15" borderId="53" xfId="0" applyFont="1" applyFill="1" applyBorder="1" applyAlignment="1">
      <alignment horizontal="left" vertical="top" wrapText="1"/>
    </xf>
    <xf numFmtId="0" fontId="21" fillId="8" borderId="36" xfId="0" applyFont="1" applyFill="1" applyBorder="1" applyAlignment="1">
      <alignment horizontal="left" wrapText="1"/>
    </xf>
    <xf numFmtId="0" fontId="21" fillId="8" borderId="53" xfId="0" applyFont="1" applyFill="1" applyBorder="1" applyAlignment="1">
      <alignment horizontal="left" wrapText="1"/>
    </xf>
    <xf numFmtId="171" fontId="27" fillId="0" borderId="20" xfId="8" applyNumberFormat="1" applyFont="1" applyFill="1" applyBorder="1" applyAlignment="1" applyProtection="1">
      <alignment horizontal="center" vertical="top" wrapText="1"/>
      <protection locked="0"/>
    </xf>
    <xf numFmtId="0" fontId="27" fillId="0" borderId="20" xfId="8" applyNumberFormat="1" applyFont="1" applyFill="1" applyBorder="1" applyAlignment="1" applyProtection="1">
      <alignment horizontal="center" vertical="top" wrapText="1"/>
      <protection locked="0"/>
    </xf>
    <xf numFmtId="0" fontId="16" fillId="0" borderId="20" xfId="0" applyFont="1" applyBorder="1" applyAlignment="1">
      <alignment horizontal="center" vertical="center" wrapText="1"/>
    </xf>
    <xf numFmtId="14" fontId="16" fillId="0" borderId="20" xfId="0" applyNumberFormat="1"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8" borderId="20" xfId="0" applyFont="1" applyFill="1" applyBorder="1" applyAlignment="1">
      <alignment horizontal="left"/>
    </xf>
    <xf numFmtId="0" fontId="19" fillId="15" borderId="20" xfId="0" applyFont="1" applyFill="1" applyBorder="1" applyAlignment="1">
      <alignment horizontal="left"/>
    </xf>
    <xf numFmtId="0" fontId="29" fillId="15" borderId="36" xfId="0" applyFont="1" applyFill="1" applyBorder="1" applyAlignment="1">
      <alignment horizontal="left"/>
    </xf>
    <xf numFmtId="0" fontId="29" fillId="15" borderId="53" xfId="0" applyFont="1" applyFill="1" applyBorder="1" applyAlignment="1">
      <alignment horizontal="left"/>
    </xf>
    <xf numFmtId="0" fontId="19" fillId="0" borderId="31" xfId="0" applyFont="1" applyBorder="1" applyAlignment="1">
      <alignment horizontal="center" wrapText="1"/>
    </xf>
    <xf numFmtId="0" fontId="19" fillId="0" borderId="0" xfId="0" applyFont="1" applyAlignment="1">
      <alignment horizontal="center" wrapText="1"/>
    </xf>
    <xf numFmtId="0" fontId="35" fillId="15" borderId="36" xfId="0" applyFont="1" applyFill="1" applyBorder="1" applyAlignment="1">
      <alignment horizontal="center" vertical="top" wrapText="1"/>
    </xf>
    <xf numFmtId="0" fontId="35" fillId="15" borderId="52" xfId="0" applyFont="1" applyFill="1" applyBorder="1" applyAlignment="1">
      <alignment horizontal="center" vertical="top" wrapText="1"/>
    </xf>
    <xf numFmtId="0" fontId="35" fillId="15" borderId="53" xfId="0" applyFont="1" applyFill="1" applyBorder="1" applyAlignment="1">
      <alignment horizontal="center" vertical="top" wrapText="1"/>
    </xf>
    <xf numFmtId="0" fontId="19" fillId="8" borderId="20" xfId="0" applyFont="1" applyFill="1" applyBorder="1" applyAlignment="1">
      <alignment horizontal="center" vertical="top" wrapText="1"/>
    </xf>
    <xf numFmtId="0" fontId="16" fillId="8" borderId="20" xfId="0" applyFont="1" applyFill="1" applyBorder="1" applyAlignment="1">
      <alignment horizontal="left" wrapText="1"/>
    </xf>
    <xf numFmtId="0" fontId="16" fillId="8" borderId="36" xfId="0" applyFont="1" applyFill="1" applyBorder="1" applyAlignment="1">
      <alignment horizontal="left" wrapText="1"/>
    </xf>
    <xf numFmtId="0" fontId="16" fillId="8" borderId="53" xfId="0" applyFont="1" applyFill="1" applyBorder="1" applyAlignment="1">
      <alignment horizontal="left" wrapText="1"/>
    </xf>
    <xf numFmtId="0" fontId="16" fillId="0" borderId="36" xfId="0" applyFont="1" applyBorder="1" applyAlignment="1">
      <alignment horizontal="left" vertical="top" wrapText="1"/>
    </xf>
    <xf numFmtId="0" fontId="16" fillId="0" borderId="53" xfId="0" applyFont="1" applyBorder="1" applyAlignment="1">
      <alignment horizontal="left" vertical="top" wrapText="1"/>
    </xf>
    <xf numFmtId="0" fontId="16" fillId="0" borderId="36" xfId="0" applyFont="1" applyBorder="1" applyAlignment="1" applyProtection="1">
      <alignment horizontal="left" wrapText="1"/>
      <protection locked="0"/>
    </xf>
    <xf numFmtId="0" fontId="16" fillId="0" borderId="53" xfId="0" applyFont="1" applyBorder="1" applyAlignment="1" applyProtection="1">
      <alignment horizontal="left" wrapText="1"/>
      <protection locked="0"/>
    </xf>
    <xf numFmtId="0" fontId="16" fillId="8" borderId="52" xfId="0" applyFont="1" applyFill="1" applyBorder="1" applyAlignment="1">
      <alignment horizontal="left" vertical="top" wrapText="1"/>
    </xf>
    <xf numFmtId="0" fontId="35" fillId="15" borderId="36" xfId="0" applyFont="1" applyFill="1" applyBorder="1" applyAlignment="1">
      <alignment horizontal="center" vertical="center" wrapText="1"/>
    </xf>
    <xf numFmtId="0" fontId="35" fillId="15" borderId="52" xfId="0" applyFont="1" applyFill="1" applyBorder="1" applyAlignment="1">
      <alignment horizontal="center" vertical="center" wrapText="1"/>
    </xf>
    <xf numFmtId="0" fontId="35" fillId="15" borderId="53" xfId="0" applyFont="1" applyFill="1" applyBorder="1" applyAlignment="1">
      <alignment horizontal="center" vertical="center" wrapText="1"/>
    </xf>
    <xf numFmtId="0" fontId="19" fillId="15" borderId="36" xfId="0" applyFont="1" applyFill="1" applyBorder="1" applyAlignment="1">
      <alignment horizontal="center" vertical="center" wrapText="1"/>
    </xf>
    <xf numFmtId="0" fontId="19" fillId="15" borderId="53" xfId="0" applyFont="1" applyFill="1" applyBorder="1" applyAlignment="1">
      <alignment horizontal="center" vertical="center" wrapText="1"/>
    </xf>
    <xf numFmtId="0" fontId="16" fillId="8" borderId="36" xfId="0" applyFont="1" applyFill="1" applyBorder="1" applyAlignment="1">
      <alignment horizontal="left" vertical="justify" wrapText="1"/>
    </xf>
    <xf numFmtId="0" fontId="16" fillId="8" borderId="53" xfId="0" applyFont="1" applyFill="1" applyBorder="1" applyAlignment="1">
      <alignment horizontal="left" vertical="justify" wrapText="1"/>
    </xf>
    <xf numFmtId="0" fontId="58" fillId="16" borderId="36" xfId="0" applyFont="1" applyFill="1" applyBorder="1" applyAlignment="1">
      <alignment horizontal="left" vertical="justify" wrapText="1"/>
    </xf>
    <xf numFmtId="0" fontId="58" fillId="16" borderId="53" xfId="0" applyFont="1" applyFill="1" applyBorder="1" applyAlignment="1">
      <alignment horizontal="left" vertical="justify" wrapText="1"/>
    </xf>
    <xf numFmtId="0" fontId="19" fillId="15" borderId="20" xfId="0" applyFont="1" applyFill="1" applyBorder="1" applyAlignment="1">
      <alignment horizontal="center" vertical="top" wrapText="1"/>
    </xf>
    <xf numFmtId="0" fontId="19" fillId="8" borderId="0" xfId="0" applyFont="1" applyFill="1" applyAlignment="1">
      <alignment horizontal="center" vertical="top" wrapText="1"/>
    </xf>
    <xf numFmtId="0" fontId="19" fillId="15" borderId="36" xfId="0" applyFont="1" applyFill="1" applyBorder="1" applyAlignment="1">
      <alignment horizontal="center"/>
    </xf>
    <xf numFmtId="0" fontId="19" fillId="15" borderId="52" xfId="0" applyFont="1" applyFill="1" applyBorder="1" applyAlignment="1">
      <alignment horizontal="center"/>
    </xf>
    <xf numFmtId="0" fontId="16" fillId="0" borderId="56" xfId="0" applyFont="1" applyBorder="1" applyAlignment="1">
      <alignment horizontal="left" wrapText="1"/>
    </xf>
    <xf numFmtId="0" fontId="19" fillId="8" borderId="55" xfId="0" applyFont="1" applyFill="1" applyBorder="1" applyAlignment="1">
      <alignment horizontal="left" vertical="top" wrapText="1"/>
    </xf>
    <xf numFmtId="0" fontId="16" fillId="0" borderId="0" xfId="0" applyFont="1" applyAlignment="1">
      <alignment horizontal="center"/>
    </xf>
    <xf numFmtId="0" fontId="19" fillId="8" borderId="55" xfId="0" applyFont="1" applyFill="1" applyBorder="1" applyAlignment="1">
      <alignment horizontal="center" vertical="top" wrapText="1"/>
    </xf>
    <xf numFmtId="0" fontId="16" fillId="0" borderId="20" xfId="0" applyFont="1" applyBorder="1" applyAlignment="1">
      <alignment horizontal="left" wrapText="1"/>
    </xf>
    <xf numFmtId="0" fontId="16" fillId="0" borderId="36" xfId="0" applyFont="1" applyBorder="1" applyAlignment="1" applyProtection="1">
      <alignment horizontal="left"/>
      <protection locked="0"/>
    </xf>
    <xf numFmtId="0" fontId="16" fillId="0" borderId="53" xfId="0" applyFont="1" applyBorder="1" applyAlignment="1" applyProtection="1">
      <alignment horizontal="left"/>
      <protection locked="0"/>
    </xf>
    <xf numFmtId="0" fontId="19" fillId="15" borderId="53" xfId="0" applyFont="1" applyFill="1" applyBorder="1" applyAlignment="1">
      <alignment horizontal="center"/>
    </xf>
    <xf numFmtId="0" fontId="29" fillId="0" borderId="36" xfId="0" applyFont="1" applyBorder="1" applyAlignment="1">
      <alignment horizontal="left"/>
    </xf>
    <xf numFmtId="0" fontId="29" fillId="0" borderId="53" xfId="0" applyFont="1" applyBorder="1" applyAlignment="1">
      <alignment horizontal="left"/>
    </xf>
    <xf numFmtId="0" fontId="19" fillId="8" borderId="0" xfId="0" applyFont="1" applyFill="1" applyAlignment="1">
      <alignment horizontal="left" vertical="top" wrapText="1"/>
    </xf>
    <xf numFmtId="0" fontId="39" fillId="8" borderId="56" xfId="0" applyFont="1" applyFill="1" applyBorder="1" applyAlignment="1">
      <alignment horizontal="center"/>
    </xf>
    <xf numFmtId="0" fontId="16" fillId="0" borderId="20" xfId="0" applyFont="1" applyBorder="1" applyAlignment="1">
      <alignment horizontal="left" vertical="top" wrapText="1"/>
    </xf>
    <xf numFmtId="0" fontId="19" fillId="0" borderId="39" xfId="0" applyFont="1" applyBorder="1" applyAlignment="1">
      <alignment horizontal="center"/>
    </xf>
    <xf numFmtId="0" fontId="19" fillId="0" borderId="20" xfId="0" applyFont="1" applyBorder="1" applyAlignment="1">
      <alignment horizontal="center"/>
    </xf>
    <xf numFmtId="43" fontId="16" fillId="0" borderId="20" xfId="2" applyFont="1" applyBorder="1" applyAlignment="1" applyProtection="1">
      <alignment horizontal="center"/>
    </xf>
    <xf numFmtId="4" fontId="16" fillId="0" borderId="20" xfId="0" applyNumberFormat="1" applyFont="1" applyBorder="1" applyAlignment="1">
      <alignment horizontal="center"/>
    </xf>
    <xf numFmtId="4" fontId="16" fillId="0" borderId="36" xfId="0" applyNumberFormat="1" applyFont="1" applyBorder="1" applyAlignment="1">
      <alignment horizontal="center"/>
    </xf>
    <xf numFmtId="4" fontId="16" fillId="0" borderId="53" xfId="0" applyNumberFormat="1" applyFont="1" applyBorder="1" applyAlignment="1">
      <alignment horizontal="center"/>
    </xf>
    <xf numFmtId="0" fontId="16" fillId="0" borderId="20" xfId="0" applyFont="1" applyBorder="1" applyAlignment="1">
      <alignment horizontal="left" vertical="center" wrapText="1"/>
    </xf>
    <xf numFmtId="44" fontId="59" fillId="6" borderId="20" xfId="8" applyFont="1" applyFill="1" applyBorder="1" applyAlignment="1">
      <alignment horizontal="center" vertical="center" wrapText="1"/>
    </xf>
    <xf numFmtId="0" fontId="12" fillId="0" borderId="20" xfId="0" applyFont="1" applyBorder="1" applyAlignment="1">
      <alignment horizontal="center" vertical="center"/>
    </xf>
    <xf numFmtId="0" fontId="57" fillId="0" borderId="20" xfId="0" applyFont="1" applyBorder="1" applyAlignment="1">
      <alignment horizontal="center" vertical="center"/>
    </xf>
    <xf numFmtId="0" fontId="57" fillId="16" borderId="52" xfId="0" applyFont="1" applyFill="1" applyBorder="1" applyAlignment="1">
      <alignment horizontal="center" vertical="center" wrapText="1"/>
    </xf>
    <xf numFmtId="0" fontId="57" fillId="16" borderId="53" xfId="0" applyFont="1" applyFill="1" applyBorder="1" applyAlignment="1">
      <alignment horizontal="center" vertical="center" wrapText="1"/>
    </xf>
    <xf numFmtId="0" fontId="12" fillId="16" borderId="52" xfId="0" applyFont="1" applyFill="1" applyBorder="1" applyAlignment="1">
      <alignment horizontal="center" vertical="center" wrapText="1"/>
    </xf>
    <xf numFmtId="0" fontId="12" fillId="16" borderId="53"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 xfId="0" applyFont="1" applyFill="1" applyBorder="1" applyAlignment="1">
      <alignment horizontal="center" vertical="center"/>
    </xf>
    <xf numFmtId="0" fontId="4" fillId="2" borderId="0" xfId="0" applyFont="1" applyFill="1" applyAlignment="1">
      <alignment horizontal="center" vertical="center"/>
    </xf>
    <xf numFmtId="0" fontId="3" fillId="0" borderId="0" xfId="0" applyFont="1" applyAlignment="1">
      <alignment horizontal="left"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7" fillId="9" borderId="10" xfId="0" applyFont="1" applyFill="1" applyBorder="1" applyAlignment="1">
      <alignment horizontal="center" vertical="center"/>
    </xf>
    <xf numFmtId="0" fontId="8" fillId="9" borderId="43" xfId="0" applyFont="1" applyFill="1" applyBorder="1" applyAlignment="1">
      <alignment horizontal="center" vertical="center"/>
    </xf>
    <xf numFmtId="0" fontId="8" fillId="9" borderId="38" xfId="0" applyFont="1" applyFill="1" applyBorder="1" applyAlignment="1">
      <alignment horizontal="center" vertical="center"/>
    </xf>
    <xf numFmtId="0" fontId="8" fillId="9" borderId="44"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39" xfId="0" applyFont="1" applyFill="1" applyBorder="1" applyAlignment="1">
      <alignment horizontal="center" vertical="center"/>
    </xf>
    <xf numFmtId="0" fontId="8" fillId="9" borderId="46" xfId="0" applyFont="1" applyFill="1" applyBorder="1" applyAlignment="1">
      <alignment horizontal="center" vertical="center"/>
    </xf>
    <xf numFmtId="0" fontId="7" fillId="9" borderId="47" xfId="0" applyFont="1" applyFill="1" applyBorder="1" applyAlignment="1">
      <alignment horizontal="center" vertical="center"/>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43"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44" xfId="0" applyFont="1" applyFill="1" applyBorder="1" applyAlignment="1">
      <alignment horizontal="center" vertical="center"/>
    </xf>
    <xf numFmtId="0" fontId="3" fillId="0" borderId="0" xfId="0" applyFont="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8" borderId="0" xfId="0" applyFont="1" applyFill="1" applyAlignment="1">
      <alignment horizontal="left"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2" fillId="2" borderId="0" xfId="0" applyFont="1" applyFill="1" applyAlignment="1">
      <alignment horizontal="center"/>
    </xf>
  </cellXfs>
  <cellStyles count="41">
    <cellStyle name="Moeda" xfId="8" builtinId="4"/>
    <cellStyle name="Moeda 2" xfId="19" xr:uid="{00000000-0005-0000-0000-000040000000}"/>
    <cellStyle name="Normal" xfId="0" builtinId="0"/>
    <cellStyle name="Normal 2" xfId="14" xr:uid="{00000000-0005-0000-0000-000018000000}"/>
    <cellStyle name="Normal 2 2 2" xfId="20" xr:uid="{00000000-0005-0000-0000-000041000000}"/>
    <cellStyle name="Normal 5" xfId="7" xr:uid="{00000000-0005-0000-0000-00000B000000}"/>
    <cellStyle name="Porcentagem" xfId="3" builtinId="5"/>
    <cellStyle name="Vírgula" xfId="2" builtinId="3"/>
    <cellStyle name="Vírgula 10" xfId="16" xr:uid="{00000000-0005-0000-0000-000028000000}"/>
    <cellStyle name="Vírgula 2" xfId="21" xr:uid="{00000000-0005-0000-0000-000042000000}"/>
    <cellStyle name="Vírgula 3" xfId="22" xr:uid="{00000000-0005-0000-0000-000043000000}"/>
    <cellStyle name="Vírgula 3 2" xfId="17" xr:uid="{00000000-0005-0000-0000-000029000000}"/>
    <cellStyle name="Vírgula 3 2 2" xfId="6" xr:uid="{00000000-0005-0000-0000-000009000000}"/>
    <cellStyle name="Vírgula 3 2 2 2" xfId="15" xr:uid="{00000000-0005-0000-0000-000019000000}"/>
    <cellStyle name="Vírgula 3 2 3" xfId="11" xr:uid="{00000000-0005-0000-0000-000013000000}"/>
    <cellStyle name="Vírgula 3 3" xfId="18" xr:uid="{00000000-0005-0000-0000-00002B000000}"/>
    <cellStyle name="Vírgula 3 3 2" xfId="23" xr:uid="{00000000-0005-0000-0000-000044000000}"/>
    <cellStyle name="Vírgula 3 4" xfId="1" xr:uid="{00000000-0005-0000-0000-000001000000}"/>
    <cellStyle name="Vírgula 4" xfId="24" xr:uid="{00000000-0005-0000-0000-000045000000}"/>
    <cellStyle name="Vírgula 4 2" xfId="25" xr:uid="{00000000-0005-0000-0000-000046000000}"/>
    <cellStyle name="Vírgula 4 2 2" xfId="27" xr:uid="{00000000-0005-0000-0000-000048000000}"/>
    <cellStyle name="Vírgula 4 2 2 2" xfId="29" xr:uid="{00000000-0005-0000-0000-00004A000000}"/>
    <cellStyle name="Vírgula 4 2 3" xfId="31" xr:uid="{00000000-0005-0000-0000-00004C000000}"/>
    <cellStyle name="Vírgula 4 3" xfId="5" xr:uid="{00000000-0005-0000-0000-000008000000}"/>
    <cellStyle name="Vírgula 4 3 2" xfId="13" xr:uid="{00000000-0005-0000-0000-000017000000}"/>
    <cellStyle name="Vírgula 4 4" xfId="10" xr:uid="{00000000-0005-0000-0000-000012000000}"/>
    <cellStyle name="Vírgula 5" xfId="33" xr:uid="{00000000-0005-0000-0000-00004E000000}"/>
    <cellStyle name="Vírgula 5 2" xfId="34" xr:uid="{00000000-0005-0000-0000-00004F000000}"/>
    <cellStyle name="Vírgula 5 2 2" xfId="35" xr:uid="{00000000-0005-0000-0000-000050000000}"/>
    <cellStyle name="Vírgula 5 2 2 2" xfId="36" xr:uid="{00000000-0005-0000-0000-000051000000}"/>
    <cellStyle name="Vírgula 5 2 3" xfId="37" xr:uid="{00000000-0005-0000-0000-000052000000}"/>
    <cellStyle name="Vírgula 5 3" xfId="38" xr:uid="{00000000-0005-0000-0000-000053000000}"/>
    <cellStyle name="Vírgula 5 3 2" xfId="39" xr:uid="{00000000-0005-0000-0000-000054000000}"/>
    <cellStyle name="Vírgula 5 4" xfId="40" xr:uid="{00000000-0005-0000-0000-000055000000}"/>
    <cellStyle name="Vírgula 6" xfId="26" xr:uid="{00000000-0005-0000-0000-000047000000}"/>
    <cellStyle name="Vírgula 6 2" xfId="28" xr:uid="{00000000-0005-0000-0000-000049000000}"/>
    <cellStyle name="Vírgula 6 2 2" xfId="30" xr:uid="{00000000-0005-0000-0000-00004B000000}"/>
    <cellStyle name="Vírgula 6 3" xfId="32" xr:uid="{00000000-0005-0000-0000-00004D000000}"/>
    <cellStyle name="Vírgula 7" xfId="4" xr:uid="{00000000-0005-0000-0000-000007000000}"/>
    <cellStyle name="Vírgula 7 2" xfId="12" xr:uid="{00000000-0005-0000-0000-000016000000}"/>
    <cellStyle name="Vírgula 8" xfId="9" xr:uid="{00000000-0005-0000-0000-00001100000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microsoft.com/office/2017/10/relationships/person" Target="persons/person3.xml"/><Relationship Id="rId26" Type="http://schemas.microsoft.com/office/2017/10/relationships/person" Target="persons/person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microsoft.com/office/2017/10/relationships/person" Target="persons/person2.xml"/><Relationship Id="rId25" Type="http://schemas.microsoft.com/office/2017/10/relationships/person" Target="persons/person7.xml"/><Relationship Id="rId2" Type="http://schemas.openxmlformats.org/officeDocument/2006/relationships/worksheet" Target="worksheets/sheet2.xml"/><Relationship Id="rId16" Type="http://schemas.microsoft.com/office/2017/10/relationships/person" Target="persons/pers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microsoft.com/office/2017/10/relationships/person" Target="persons/person4.xml"/><Relationship Id="rId5" Type="http://schemas.openxmlformats.org/officeDocument/2006/relationships/worksheet" Target="worksheets/sheet5.xml"/><Relationship Id="rId15" Type="http://schemas.microsoft.com/office/2017/10/relationships/person" Target="persons/person5.xml"/><Relationship Id="rId23" Type="http://schemas.microsoft.com/office/2017/10/relationships/person" Target="persons/person0.xml"/><Relationship Id="rId10" Type="http://schemas.openxmlformats.org/officeDocument/2006/relationships/styles" Target="style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10/relationships/person" Target="persons/person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952500</xdr:colOff>
      <xdr:row>36</xdr:row>
      <xdr:rowOff>66675</xdr:rowOff>
    </xdr:from>
    <xdr:to>
      <xdr:col>4</xdr:col>
      <xdr:colOff>1285875</xdr:colOff>
      <xdr:row>43</xdr:row>
      <xdr:rowOff>66675</xdr:rowOff>
    </xdr:to>
    <xdr:pic>
      <xdr:nvPicPr>
        <xdr:cNvPr id="3" name="Imagem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352550" y="7858125"/>
          <a:ext cx="390525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xdr:row>
      <xdr:rowOff>0</xdr:rowOff>
    </xdr:from>
    <xdr:to>
      <xdr:col>1</xdr:col>
      <xdr:colOff>1066800</xdr:colOff>
      <xdr:row>4</xdr:row>
      <xdr:rowOff>171450</xdr:rowOff>
    </xdr:to>
    <xdr:pic>
      <xdr:nvPicPr>
        <xdr:cNvPr id="6" name="Imagem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52475"/>
        </a:xfrm>
        <a:prstGeom prst="rect">
          <a:avLst/>
        </a:prstGeom>
        <a:noFill/>
      </xdr:spPr>
    </xdr:pic>
    <xdr:clientData/>
  </xdr:twoCellAnchor>
  <xdr:twoCellAnchor editAs="oneCell">
    <xdr:from>
      <xdr:col>1</xdr:col>
      <xdr:colOff>133350</xdr:colOff>
      <xdr:row>1</xdr:row>
      <xdr:rowOff>0</xdr:rowOff>
    </xdr:from>
    <xdr:to>
      <xdr:col>1</xdr:col>
      <xdr:colOff>1066800</xdr:colOff>
      <xdr:row>4</xdr:row>
      <xdr:rowOff>171450</xdr:rowOff>
    </xdr:to>
    <xdr:pic>
      <xdr:nvPicPr>
        <xdr:cNvPr id="4" name="Imagem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52475"/>
        </a:xfrm>
        <a:prstGeom prst="rect">
          <a:avLst/>
        </a:prstGeom>
        <a:noFill/>
      </xdr:spPr>
    </xdr:pic>
    <xdr:clientData/>
  </xdr:twoCellAnchor>
  <xdr:twoCellAnchor editAs="oneCell">
    <xdr:from>
      <xdr:col>1</xdr:col>
      <xdr:colOff>133350</xdr:colOff>
      <xdr:row>1</xdr:row>
      <xdr:rowOff>0</xdr:rowOff>
    </xdr:from>
    <xdr:to>
      <xdr:col>1</xdr:col>
      <xdr:colOff>1066800</xdr:colOff>
      <xdr:row>4</xdr:row>
      <xdr:rowOff>171450</xdr:rowOff>
    </xdr:to>
    <xdr:pic>
      <xdr:nvPicPr>
        <xdr:cNvPr id="7" name="Imagem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524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972820</xdr:colOff>
      <xdr:row>4</xdr:row>
      <xdr:rowOff>123825</xdr:rowOff>
    </xdr:to>
    <xdr:pic>
      <xdr:nvPicPr>
        <xdr:cNvPr id="3" name="Imagem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04850"/>
        </a:xfrm>
        <a:prstGeom prst="rect">
          <a:avLst/>
        </a:prstGeom>
        <a:noFill/>
      </xdr:spPr>
    </xdr:pic>
    <xdr:clientData/>
  </xdr:twoCellAnchor>
  <xdr:twoCellAnchor editAs="oneCell">
    <xdr:from>
      <xdr:col>1</xdr:col>
      <xdr:colOff>0</xdr:colOff>
      <xdr:row>1</xdr:row>
      <xdr:rowOff>0</xdr:rowOff>
    </xdr:from>
    <xdr:to>
      <xdr:col>1</xdr:col>
      <xdr:colOff>972820</xdr:colOff>
      <xdr:row>4</xdr:row>
      <xdr:rowOff>123825</xdr:rowOff>
    </xdr:to>
    <xdr:pic>
      <xdr:nvPicPr>
        <xdr:cNvPr id="5" name="Imagem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04850"/>
        </a:xfrm>
        <a:prstGeom prst="rect">
          <a:avLst/>
        </a:prstGeom>
        <a:noFill/>
      </xdr:spPr>
    </xdr:pic>
    <xdr:clientData/>
  </xdr:twoCellAnchor>
  <xdr:twoCellAnchor>
    <xdr:from>
      <xdr:col>1</xdr:col>
      <xdr:colOff>1962151</xdr:colOff>
      <xdr:row>33</xdr:row>
      <xdr:rowOff>104775</xdr:rowOff>
    </xdr:from>
    <xdr:to>
      <xdr:col>3</xdr:col>
      <xdr:colOff>219076</xdr:colOff>
      <xdr:row>39</xdr:row>
      <xdr:rowOff>0</xdr:rowOff>
    </xdr:to>
    <xdr:pic>
      <xdr:nvPicPr>
        <xdr:cNvPr id="6" name="Imagem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62200" y="7543800"/>
          <a:ext cx="161925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972820</xdr:colOff>
      <xdr:row>4</xdr:row>
      <xdr:rowOff>123825</xdr:rowOff>
    </xdr:to>
    <xdr:pic>
      <xdr:nvPicPr>
        <xdr:cNvPr id="7" name="Imagem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04850"/>
        </a:xfrm>
        <a:prstGeom prst="rect">
          <a:avLst/>
        </a:prstGeom>
        <a:noFill/>
      </xdr:spPr>
    </xdr:pic>
    <xdr:clientData/>
  </xdr:twoCellAnchor>
  <xdr:twoCellAnchor editAs="oneCell">
    <xdr:from>
      <xdr:col>1</xdr:col>
      <xdr:colOff>0</xdr:colOff>
      <xdr:row>1</xdr:row>
      <xdr:rowOff>0</xdr:rowOff>
    </xdr:from>
    <xdr:to>
      <xdr:col>1</xdr:col>
      <xdr:colOff>972820</xdr:colOff>
      <xdr:row>4</xdr:row>
      <xdr:rowOff>123825</xdr:rowOff>
    </xdr:to>
    <xdr:pic>
      <xdr:nvPicPr>
        <xdr:cNvPr id="9" name="Imagem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04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952500</xdr:colOff>
      <xdr:row>36</xdr:row>
      <xdr:rowOff>66675</xdr:rowOff>
    </xdr:from>
    <xdr:to>
      <xdr:col>4</xdr:col>
      <xdr:colOff>1285875</xdr:colOff>
      <xdr:row>43</xdr:row>
      <xdr:rowOff>66675</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352550" y="7858125"/>
          <a:ext cx="390525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xdr:row>
      <xdr:rowOff>0</xdr:rowOff>
    </xdr:from>
    <xdr:to>
      <xdr:col>1</xdr:col>
      <xdr:colOff>1066800</xdr:colOff>
      <xdr:row>4</xdr:row>
      <xdr:rowOff>180975</xdr:rowOff>
    </xdr:to>
    <xdr:pic>
      <xdr:nvPicPr>
        <xdr:cNvPr id="3" name="Imagem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62000"/>
        </a:xfrm>
        <a:prstGeom prst="rect">
          <a:avLst/>
        </a:prstGeom>
        <a:noFill/>
      </xdr:spPr>
    </xdr:pic>
    <xdr:clientData/>
  </xdr:twoCellAnchor>
  <xdr:twoCellAnchor editAs="oneCell">
    <xdr:from>
      <xdr:col>1</xdr:col>
      <xdr:colOff>133350</xdr:colOff>
      <xdr:row>1</xdr:row>
      <xdr:rowOff>0</xdr:rowOff>
    </xdr:from>
    <xdr:to>
      <xdr:col>1</xdr:col>
      <xdr:colOff>1066800</xdr:colOff>
      <xdr:row>4</xdr:row>
      <xdr:rowOff>180975</xdr:rowOff>
    </xdr:to>
    <xdr:pic>
      <xdr:nvPicPr>
        <xdr:cNvPr id="4" name="Imagem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62000"/>
        </a:xfrm>
        <a:prstGeom prst="rect">
          <a:avLst/>
        </a:prstGeom>
        <a:noFill/>
      </xdr:spPr>
    </xdr:pic>
    <xdr:clientData/>
  </xdr:twoCellAnchor>
  <xdr:twoCellAnchor editAs="oneCell">
    <xdr:from>
      <xdr:col>1</xdr:col>
      <xdr:colOff>133350</xdr:colOff>
      <xdr:row>1</xdr:row>
      <xdr:rowOff>0</xdr:rowOff>
    </xdr:from>
    <xdr:to>
      <xdr:col>1</xdr:col>
      <xdr:colOff>1066800</xdr:colOff>
      <xdr:row>4</xdr:row>
      <xdr:rowOff>180975</xdr:rowOff>
    </xdr:to>
    <xdr:pic>
      <xdr:nvPicPr>
        <xdr:cNvPr id="5" name="Imagem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33400" y="190500"/>
          <a:ext cx="933450" cy="762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972820</xdr:colOff>
      <xdr:row>4</xdr:row>
      <xdr:rowOff>133350</xdr:rowOff>
    </xdr:to>
    <xdr:pic>
      <xdr:nvPicPr>
        <xdr:cNvPr id="2" name="Image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14375"/>
        </a:xfrm>
        <a:prstGeom prst="rect">
          <a:avLst/>
        </a:prstGeom>
        <a:noFill/>
      </xdr:spPr>
    </xdr:pic>
    <xdr:clientData/>
  </xdr:twoCellAnchor>
  <xdr:twoCellAnchor editAs="oneCell">
    <xdr:from>
      <xdr:col>1</xdr:col>
      <xdr:colOff>0</xdr:colOff>
      <xdr:row>1</xdr:row>
      <xdr:rowOff>0</xdr:rowOff>
    </xdr:from>
    <xdr:to>
      <xdr:col>1</xdr:col>
      <xdr:colOff>972820</xdr:colOff>
      <xdr:row>4</xdr:row>
      <xdr:rowOff>133350</xdr:rowOff>
    </xdr:to>
    <xdr:pic>
      <xdr:nvPicPr>
        <xdr:cNvPr id="3" name="Imagem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14375"/>
        </a:xfrm>
        <a:prstGeom prst="rect">
          <a:avLst/>
        </a:prstGeom>
        <a:noFill/>
      </xdr:spPr>
    </xdr:pic>
    <xdr:clientData/>
  </xdr:twoCellAnchor>
  <xdr:twoCellAnchor>
    <xdr:from>
      <xdr:col>1</xdr:col>
      <xdr:colOff>1962151</xdr:colOff>
      <xdr:row>33</xdr:row>
      <xdr:rowOff>104775</xdr:rowOff>
    </xdr:from>
    <xdr:to>
      <xdr:col>3</xdr:col>
      <xdr:colOff>219076</xdr:colOff>
      <xdr:row>39</xdr:row>
      <xdr:rowOff>0</xdr:rowOff>
    </xdr:to>
    <xdr:pic>
      <xdr:nvPicPr>
        <xdr:cNvPr id="4" name="Imagem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362200" y="7543800"/>
          <a:ext cx="161925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1</xdr:col>
      <xdr:colOff>972820</xdr:colOff>
      <xdr:row>4</xdr:row>
      <xdr:rowOff>133350</xdr:rowOff>
    </xdr:to>
    <xdr:pic>
      <xdr:nvPicPr>
        <xdr:cNvPr id="5" name="Imagem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14375"/>
        </a:xfrm>
        <a:prstGeom prst="rect">
          <a:avLst/>
        </a:prstGeom>
        <a:noFill/>
      </xdr:spPr>
    </xdr:pic>
    <xdr:clientData/>
  </xdr:twoCellAnchor>
  <xdr:twoCellAnchor editAs="oneCell">
    <xdr:from>
      <xdr:col>1</xdr:col>
      <xdr:colOff>0</xdr:colOff>
      <xdr:row>1</xdr:row>
      <xdr:rowOff>0</xdr:rowOff>
    </xdr:from>
    <xdr:to>
      <xdr:col>1</xdr:col>
      <xdr:colOff>972820</xdr:colOff>
      <xdr:row>4</xdr:row>
      <xdr:rowOff>133350</xdr:rowOff>
    </xdr:to>
    <xdr:pic>
      <xdr:nvPicPr>
        <xdr:cNvPr id="6" name="Imagem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0050" y="190500"/>
          <a:ext cx="972820" cy="7143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603249</xdr:colOff>
      <xdr:row>219</xdr:row>
      <xdr:rowOff>111125</xdr:rowOff>
    </xdr:from>
    <xdr:to>
      <xdr:col>2</xdr:col>
      <xdr:colOff>568324</xdr:colOff>
      <xdr:row>226</xdr:row>
      <xdr:rowOff>111125</xdr:rowOff>
    </xdr:to>
    <xdr:pic>
      <xdr:nvPicPr>
        <xdr:cNvPr id="2" name="Imagem 1">
          <a:extLst>
            <a:ext uri="{FF2B5EF4-FFF2-40B4-BE49-F238E27FC236}">
              <a16:creationId xmlns:a16="http://schemas.microsoft.com/office/drawing/2014/main" id="{19D5B910-BDCB-4B16-8ED3-70F30D0E3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12849" y="46793150"/>
          <a:ext cx="486092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460376</xdr:colOff>
      <xdr:row>242</xdr:row>
      <xdr:rowOff>55562</xdr:rowOff>
    </xdr:from>
    <xdr:to>
      <xdr:col>2</xdr:col>
      <xdr:colOff>2830513</xdr:colOff>
      <xdr:row>249</xdr:row>
      <xdr:rowOff>55562</xdr:rowOff>
    </xdr:to>
    <xdr:pic>
      <xdr:nvPicPr>
        <xdr:cNvPr id="3" name="Imagem 2">
          <a:extLst>
            <a:ext uri="{FF2B5EF4-FFF2-40B4-BE49-F238E27FC236}">
              <a16:creationId xmlns:a16="http://schemas.microsoft.com/office/drawing/2014/main" id="{4C5003B3-CDDB-4584-BA5F-500ECA29F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0376" y="51338162"/>
          <a:ext cx="6256337"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361950</xdr:colOff>
      <xdr:row>176</xdr:row>
      <xdr:rowOff>180976</xdr:rowOff>
    </xdr:from>
    <xdr:to>
      <xdr:col>1</xdr:col>
      <xdr:colOff>2000250</xdr:colOff>
      <xdr:row>181</xdr:row>
      <xdr:rowOff>129295</xdr:rowOff>
    </xdr:to>
    <xdr:pic>
      <xdr:nvPicPr>
        <xdr:cNvPr id="4" name="Imagem 3">
          <a:extLst>
            <a:ext uri="{FF2B5EF4-FFF2-40B4-BE49-F238E27FC236}">
              <a16:creationId xmlns:a16="http://schemas.microsoft.com/office/drawing/2014/main" id="{FBD93CE4-E98C-4395-AE61-F1E3ED824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71550" y="38261926"/>
          <a:ext cx="1638300" cy="948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603249</xdr:colOff>
      <xdr:row>219</xdr:row>
      <xdr:rowOff>111125</xdr:rowOff>
    </xdr:from>
    <xdr:to>
      <xdr:col>2</xdr:col>
      <xdr:colOff>568324</xdr:colOff>
      <xdr:row>226</xdr:row>
      <xdr:rowOff>111125</xdr:rowOff>
    </xdr:to>
    <xdr:pic>
      <xdr:nvPicPr>
        <xdr:cNvPr id="2" name="Imagem 1">
          <a:extLst>
            <a:ext uri="{FF2B5EF4-FFF2-40B4-BE49-F238E27FC236}">
              <a16:creationId xmlns:a16="http://schemas.microsoft.com/office/drawing/2014/main" id="{3B4A2D12-EF17-4EED-9F95-6134D4A34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12849" y="46831250"/>
          <a:ext cx="486092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460376</xdr:colOff>
      <xdr:row>242</xdr:row>
      <xdr:rowOff>55562</xdr:rowOff>
    </xdr:from>
    <xdr:to>
      <xdr:col>2</xdr:col>
      <xdr:colOff>2830513</xdr:colOff>
      <xdr:row>249</xdr:row>
      <xdr:rowOff>55562</xdr:rowOff>
    </xdr:to>
    <xdr:pic>
      <xdr:nvPicPr>
        <xdr:cNvPr id="3" name="Imagem 2">
          <a:extLst>
            <a:ext uri="{FF2B5EF4-FFF2-40B4-BE49-F238E27FC236}">
              <a16:creationId xmlns:a16="http://schemas.microsoft.com/office/drawing/2014/main" id="{0E438E35-9E16-4A16-9A44-FD1B10A03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60376" y="51376262"/>
          <a:ext cx="6256337"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361950</xdr:colOff>
      <xdr:row>176</xdr:row>
      <xdr:rowOff>180976</xdr:rowOff>
    </xdr:from>
    <xdr:to>
      <xdr:col>1</xdr:col>
      <xdr:colOff>2000250</xdr:colOff>
      <xdr:row>181</xdr:row>
      <xdr:rowOff>129295</xdr:rowOff>
    </xdr:to>
    <xdr:pic>
      <xdr:nvPicPr>
        <xdr:cNvPr id="4" name="Imagem 3">
          <a:extLst>
            <a:ext uri="{FF2B5EF4-FFF2-40B4-BE49-F238E27FC236}">
              <a16:creationId xmlns:a16="http://schemas.microsoft.com/office/drawing/2014/main" id="{83CD648A-FEF4-472E-9161-4BB0EA4E4D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71550" y="38300026"/>
          <a:ext cx="1638300" cy="948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B37" sqref="B37"/>
    </sheetView>
  </sheetViews>
  <sheetFormatPr defaultColWidth="9.140625" defaultRowHeight="15"/>
  <cols>
    <col min="1" max="1" width="6" style="415" customWidth="1"/>
    <col min="2" max="2" width="24.5703125" style="415" customWidth="1"/>
    <col min="3" max="3" width="19.85546875" style="415" customWidth="1"/>
    <col min="4" max="4" width="9.140625" style="415"/>
    <col min="5" max="5" width="19.42578125" style="415" customWidth="1"/>
    <col min="6" max="6" width="20.5703125" style="415" customWidth="1"/>
    <col min="7" max="7" width="9.140625" style="415"/>
    <col min="8" max="8" width="9.85546875" style="415" customWidth="1"/>
    <col min="9" max="16384" width="9.140625" style="415"/>
  </cols>
  <sheetData>
    <row r="1" spans="1:7">
      <c r="A1" s="467"/>
      <c r="B1" s="468"/>
      <c r="C1" s="468"/>
      <c r="D1" s="468"/>
      <c r="E1" s="468"/>
      <c r="F1" s="469"/>
    </row>
    <row r="2" spans="1:7">
      <c r="A2" s="470"/>
      <c r="F2" s="471"/>
    </row>
    <row r="3" spans="1:7" ht="15.75">
      <c r="A3" s="470"/>
      <c r="C3" s="523" t="s">
        <v>0</v>
      </c>
      <c r="D3" s="523"/>
      <c r="E3" s="523"/>
      <c r="F3" s="524"/>
    </row>
    <row r="4" spans="1:7">
      <c r="A4" s="470"/>
      <c r="C4" s="420" t="s">
        <v>1</v>
      </c>
      <c r="D4" s="420"/>
      <c r="E4" s="420"/>
      <c r="F4" s="471"/>
    </row>
    <row r="5" spans="1:7">
      <c r="A5" s="470"/>
      <c r="C5" s="420" t="s">
        <v>2</v>
      </c>
      <c r="D5" s="420"/>
      <c r="E5" s="420"/>
      <c r="F5" s="471"/>
    </row>
    <row r="6" spans="1:7" ht="15.75">
      <c r="A6" s="472"/>
      <c r="B6" s="473"/>
      <c r="C6" s="525" t="s">
        <v>3</v>
      </c>
      <c r="D6" s="525"/>
      <c r="E6" s="525"/>
      <c r="F6" s="526"/>
    </row>
    <row r="7" spans="1:7">
      <c r="A7" s="527" t="s">
        <v>4</v>
      </c>
      <c r="B7" s="528"/>
      <c r="C7" s="528"/>
      <c r="D7" s="528"/>
      <c r="E7" s="529"/>
      <c r="F7" s="421"/>
    </row>
    <row r="8" spans="1:7">
      <c r="A8" s="527" t="s">
        <v>5</v>
      </c>
      <c r="B8" s="528"/>
      <c r="C8" s="528"/>
      <c r="D8" s="528"/>
      <c r="E8" s="529"/>
      <c r="F8" s="422"/>
      <c r="G8" s="409"/>
    </row>
    <row r="9" spans="1:7">
      <c r="A9" s="530" t="s">
        <v>6</v>
      </c>
      <c r="B9" s="530"/>
      <c r="C9" s="530"/>
      <c r="D9" s="530"/>
      <c r="E9" s="530"/>
      <c r="F9" s="233"/>
      <c r="G9" s="423"/>
    </row>
    <row r="10" spans="1:7" ht="15.75">
      <c r="A10" s="520" t="s">
        <v>7</v>
      </c>
      <c r="B10" s="521"/>
      <c r="C10" s="521"/>
      <c r="D10" s="521"/>
      <c r="E10" s="522"/>
      <c r="F10" s="233"/>
      <c r="G10" s="423"/>
    </row>
    <row r="11" spans="1:7" ht="15.75">
      <c r="A11" s="520" t="s">
        <v>8</v>
      </c>
      <c r="B11" s="521"/>
      <c r="C11" s="521"/>
      <c r="D11" s="521"/>
      <c r="E11" s="522"/>
      <c r="F11" s="233"/>
      <c r="G11" s="423"/>
    </row>
    <row r="12" spans="1:7" ht="15.75">
      <c r="A12" s="520" t="s">
        <v>9</v>
      </c>
      <c r="B12" s="521"/>
      <c r="C12" s="521"/>
      <c r="D12" s="521"/>
      <c r="E12" s="522"/>
      <c r="F12" s="233"/>
      <c r="G12" s="423"/>
    </row>
    <row r="13" spans="1:7" ht="19.5">
      <c r="A13" s="513" t="s">
        <v>10</v>
      </c>
      <c r="B13" s="514"/>
      <c r="C13" s="514"/>
      <c r="D13" s="514"/>
      <c r="E13" s="514"/>
      <c r="F13" s="515"/>
    </row>
    <row r="14" spans="1:7" ht="31.5">
      <c r="A14" s="474" t="s">
        <v>11</v>
      </c>
      <c r="B14" s="474" t="s">
        <v>12</v>
      </c>
      <c r="C14" s="475" t="s">
        <v>13</v>
      </c>
      <c r="D14" s="475" t="s">
        <v>14</v>
      </c>
      <c r="E14" s="475" t="s">
        <v>15</v>
      </c>
      <c r="F14" s="475" t="s">
        <v>16</v>
      </c>
      <c r="G14" s="476"/>
    </row>
    <row r="15" spans="1:7" ht="15.75">
      <c r="A15" s="444">
        <v>1</v>
      </c>
      <c r="B15" s="477" t="s">
        <v>17</v>
      </c>
      <c r="C15" s="445">
        <v>65</v>
      </c>
      <c r="D15" s="444">
        <v>2</v>
      </c>
      <c r="E15" s="445">
        <f>C15*D15</f>
        <v>130</v>
      </c>
      <c r="F15" s="445">
        <f>E15/6</f>
        <v>21.666666666666668</v>
      </c>
      <c r="G15" s="415" t="s">
        <v>18</v>
      </c>
    </row>
    <row r="16" spans="1:7" ht="31.5">
      <c r="A16" s="444">
        <v>2</v>
      </c>
      <c r="B16" s="477" t="s">
        <v>19</v>
      </c>
      <c r="C16" s="445">
        <v>55</v>
      </c>
      <c r="D16" s="444">
        <v>3</v>
      </c>
      <c r="E16" s="445">
        <f t="shared" ref="E16:E24" si="0">C16*D16</f>
        <v>165</v>
      </c>
      <c r="F16" s="445">
        <f t="shared" ref="F16:F23" si="1">E16/6</f>
        <v>27.5</v>
      </c>
      <c r="G16" s="415" t="s">
        <v>18</v>
      </c>
    </row>
    <row r="17" spans="1:8" ht="15.75">
      <c r="A17" s="444">
        <v>3</v>
      </c>
      <c r="B17" s="477" t="s">
        <v>20</v>
      </c>
      <c r="C17" s="445">
        <v>25</v>
      </c>
      <c r="D17" s="444">
        <v>1</v>
      </c>
      <c r="E17" s="445">
        <f t="shared" si="0"/>
        <v>25</v>
      </c>
      <c r="F17" s="445">
        <f t="shared" si="1"/>
        <v>4.166666666666667</v>
      </c>
      <c r="G17" s="415" t="s">
        <v>18</v>
      </c>
    </row>
    <row r="18" spans="1:8" ht="15.75">
      <c r="A18" s="444">
        <v>4</v>
      </c>
      <c r="B18" s="477" t="s">
        <v>21</v>
      </c>
      <c r="C18" s="445">
        <v>130</v>
      </c>
      <c r="D18" s="444">
        <v>1</v>
      </c>
      <c r="E18" s="445">
        <f t="shared" si="0"/>
        <v>130</v>
      </c>
      <c r="F18" s="445">
        <f t="shared" si="1"/>
        <v>21.666666666666668</v>
      </c>
      <c r="G18" s="415" t="s">
        <v>18</v>
      </c>
    </row>
    <row r="19" spans="1:8" ht="15.75">
      <c r="A19" s="444">
        <f>A18+1</f>
        <v>5</v>
      </c>
      <c r="B19" s="477" t="s">
        <v>22</v>
      </c>
      <c r="C19" s="445">
        <v>12</v>
      </c>
      <c r="D19" s="444">
        <v>2</v>
      </c>
      <c r="E19" s="445">
        <f t="shared" si="0"/>
        <v>24</v>
      </c>
      <c r="F19" s="445">
        <f t="shared" si="1"/>
        <v>4</v>
      </c>
      <c r="G19" s="415" t="s">
        <v>18</v>
      </c>
    </row>
    <row r="20" spans="1:8" ht="15.75">
      <c r="A20" s="444">
        <f t="shared" ref="A20:A21" si="2">A19+1</f>
        <v>6</v>
      </c>
      <c r="B20" s="477" t="s">
        <v>23</v>
      </c>
      <c r="C20" s="445">
        <v>35</v>
      </c>
      <c r="D20" s="444">
        <v>1</v>
      </c>
      <c r="E20" s="445">
        <f t="shared" si="0"/>
        <v>35</v>
      </c>
      <c r="F20" s="445">
        <f t="shared" si="1"/>
        <v>5.833333333333333</v>
      </c>
      <c r="G20" s="415" t="s">
        <v>18</v>
      </c>
    </row>
    <row r="21" spans="1:8" ht="15.75">
      <c r="A21" s="444">
        <f t="shared" si="2"/>
        <v>7</v>
      </c>
      <c r="B21" s="478" t="s">
        <v>24</v>
      </c>
      <c r="C21" s="445">
        <v>10</v>
      </c>
      <c r="D21" s="444">
        <v>1</v>
      </c>
      <c r="E21" s="445">
        <f t="shared" si="0"/>
        <v>10</v>
      </c>
      <c r="F21" s="445">
        <f t="shared" si="1"/>
        <v>1.6666666666666667</v>
      </c>
      <c r="G21" s="415" t="s">
        <v>18</v>
      </c>
    </row>
    <row r="22" spans="1:8" ht="15.75">
      <c r="A22" s="444">
        <v>8</v>
      </c>
      <c r="B22" s="478" t="s">
        <v>25</v>
      </c>
      <c r="C22" s="445">
        <v>10</v>
      </c>
      <c r="D22" s="444">
        <v>1</v>
      </c>
      <c r="E22" s="445">
        <f t="shared" si="0"/>
        <v>10</v>
      </c>
      <c r="F22" s="445">
        <f t="shared" si="1"/>
        <v>1.6666666666666667</v>
      </c>
      <c r="G22" s="415" t="s">
        <v>18</v>
      </c>
    </row>
    <row r="23" spans="1:8" ht="15.75">
      <c r="A23" s="444">
        <v>9</v>
      </c>
      <c r="B23" s="477" t="s">
        <v>26</v>
      </c>
      <c r="C23" s="445">
        <v>85</v>
      </c>
      <c r="D23" s="444">
        <v>1</v>
      </c>
      <c r="E23" s="445">
        <f t="shared" si="0"/>
        <v>85</v>
      </c>
      <c r="F23" s="445">
        <f t="shared" si="1"/>
        <v>14.166666666666666</v>
      </c>
      <c r="G23" s="415" t="s">
        <v>18</v>
      </c>
    </row>
    <row r="24" spans="1:8" ht="15.75">
      <c r="A24" s="479"/>
      <c r="B24" s="480"/>
      <c r="C24" s="445">
        <v>0</v>
      </c>
      <c r="D24" s="444">
        <v>1</v>
      </c>
      <c r="E24" s="445">
        <f t="shared" si="0"/>
        <v>0</v>
      </c>
      <c r="F24" s="445">
        <f t="shared" ref="F24" si="3">E24/12</f>
        <v>0</v>
      </c>
    </row>
    <row r="25" spans="1:8" ht="15.75">
      <c r="A25" s="479"/>
      <c r="B25" s="481"/>
      <c r="C25" s="482"/>
      <c r="D25" s="483"/>
      <c r="E25" s="484"/>
      <c r="F25" s="445"/>
    </row>
    <row r="26" spans="1:8" ht="15.75">
      <c r="A26" s="516" t="s">
        <v>27</v>
      </c>
      <c r="B26" s="517"/>
      <c r="C26" s="517"/>
      <c r="D26" s="517"/>
      <c r="E26" s="518"/>
      <c r="F26" s="485">
        <f>SUM(F15:F25)</f>
        <v>102.33333333333334</v>
      </c>
    </row>
    <row r="29" spans="1:8" ht="19.5">
      <c r="A29" s="513" t="s">
        <v>28</v>
      </c>
      <c r="B29" s="514"/>
      <c r="C29" s="514"/>
      <c r="D29" s="514"/>
      <c r="E29" s="514"/>
      <c r="F29" s="515"/>
      <c r="H29" s="438"/>
    </row>
    <row r="30" spans="1:8" ht="31.5">
      <c r="A30" s="474" t="s">
        <v>11</v>
      </c>
      <c r="B30" s="474" t="s">
        <v>12</v>
      </c>
      <c r="C30" s="475" t="s">
        <v>13</v>
      </c>
      <c r="D30" s="475" t="s">
        <v>29</v>
      </c>
      <c r="E30" s="475" t="s">
        <v>15</v>
      </c>
      <c r="F30" s="475" t="s">
        <v>16</v>
      </c>
    </row>
    <row r="31" spans="1:8" ht="15.75">
      <c r="A31" s="444">
        <v>1</v>
      </c>
      <c r="B31" s="477" t="s">
        <v>30</v>
      </c>
      <c r="C31" s="445">
        <v>35</v>
      </c>
      <c r="D31" s="444">
        <v>1</v>
      </c>
      <c r="E31" s="445">
        <f>C31*D31</f>
        <v>35</v>
      </c>
      <c r="F31" s="445">
        <f>E31/12</f>
        <v>2.9166666666666665</v>
      </c>
      <c r="G31" s="415" t="s">
        <v>31</v>
      </c>
    </row>
    <row r="32" spans="1:8" ht="15.75">
      <c r="A32" s="444">
        <v>2</v>
      </c>
      <c r="B32" s="477" t="s">
        <v>32</v>
      </c>
      <c r="C32" s="445">
        <v>25</v>
      </c>
      <c r="D32" s="444">
        <v>1</v>
      </c>
      <c r="E32" s="445">
        <f t="shared" ref="E32" si="4">C32*D32</f>
        <v>25</v>
      </c>
      <c r="F32" s="445">
        <f>E32/12</f>
        <v>2.0833333333333335</v>
      </c>
      <c r="G32" s="415" t="s">
        <v>31</v>
      </c>
    </row>
    <row r="33" spans="1:6" ht="15.75">
      <c r="A33" s="479"/>
      <c r="B33" s="477"/>
      <c r="C33" s="482"/>
      <c r="D33" s="483"/>
      <c r="E33" s="484"/>
      <c r="F33" s="445"/>
    </row>
    <row r="34" spans="1:6" ht="15.75">
      <c r="A34" s="516" t="s">
        <v>27</v>
      </c>
      <c r="B34" s="517"/>
      <c r="C34" s="517"/>
      <c r="D34" s="517"/>
      <c r="E34" s="518"/>
      <c r="F34" s="485">
        <f>SUM(F31:F33)</f>
        <v>5</v>
      </c>
    </row>
    <row r="36" spans="1:6">
      <c r="B36" s="519" t="s">
        <v>33</v>
      </c>
      <c r="C36" s="519"/>
      <c r="D36" s="519"/>
      <c r="E36" s="519"/>
      <c r="F36" s="519"/>
    </row>
  </sheetData>
  <mergeCells count="13">
    <mergeCell ref="C3:F3"/>
    <mergeCell ref="C6:F6"/>
    <mergeCell ref="A7:E7"/>
    <mergeCell ref="A8:E8"/>
    <mergeCell ref="A9:E9"/>
    <mergeCell ref="A29:F29"/>
    <mergeCell ref="A34:E34"/>
    <mergeCell ref="B36:F36"/>
    <mergeCell ref="A10:E10"/>
    <mergeCell ref="A11:E11"/>
    <mergeCell ref="A12:E12"/>
    <mergeCell ref="A13:F13"/>
    <mergeCell ref="A26:E26"/>
  </mergeCells>
  <pageMargins left="0.511811024" right="0.511811024" top="0.78740157499999996" bottom="0.78740157499999996" header="0.31496062000000002" footer="0.31496062000000002"/>
  <pageSetup paperSize="9" scale="6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opLeftCell="A16" workbookViewId="0">
      <selection activeCell="K23" sqref="K23"/>
    </sheetView>
  </sheetViews>
  <sheetFormatPr defaultColWidth="9.140625" defaultRowHeight="15"/>
  <cols>
    <col min="1" max="1" width="6" style="415" customWidth="1"/>
    <col min="2" max="2" width="30.85546875" style="415" customWidth="1"/>
    <col min="3" max="3" width="19.5703125" style="415" customWidth="1"/>
    <col min="4" max="4" width="9.140625" style="415"/>
    <col min="5" max="5" width="25.5703125" style="415" customWidth="1"/>
    <col min="6" max="6" width="19" style="415" customWidth="1"/>
    <col min="7" max="16384" width="9.140625" style="415"/>
  </cols>
  <sheetData>
    <row r="1" spans="1:8">
      <c r="A1" s="416"/>
      <c r="B1" s="417"/>
      <c r="C1" s="417"/>
      <c r="D1" s="417"/>
      <c r="E1" s="417"/>
      <c r="F1" s="418"/>
    </row>
    <row r="2" spans="1:8">
      <c r="A2" s="419"/>
      <c r="F2" s="228"/>
    </row>
    <row r="3" spans="1:8" ht="15.75">
      <c r="A3" s="419"/>
      <c r="C3" s="523" t="s">
        <v>0</v>
      </c>
      <c r="D3" s="523"/>
      <c r="E3" s="523"/>
      <c r="F3" s="540"/>
    </row>
    <row r="4" spans="1:8">
      <c r="A4" s="419"/>
      <c r="C4" s="420" t="s">
        <v>1</v>
      </c>
      <c r="D4" s="420"/>
      <c r="E4" s="420"/>
      <c r="F4" s="228"/>
    </row>
    <row r="5" spans="1:8">
      <c r="A5" s="419"/>
      <c r="C5" s="420" t="s">
        <v>2</v>
      </c>
      <c r="D5" s="420"/>
      <c r="E5" s="420"/>
      <c r="F5" s="228"/>
    </row>
    <row r="6" spans="1:8" ht="15.75">
      <c r="A6" s="419"/>
      <c r="C6" s="541" t="s">
        <v>3</v>
      </c>
      <c r="D6" s="541"/>
      <c r="E6" s="541"/>
      <c r="F6" s="542"/>
    </row>
    <row r="7" spans="1:8">
      <c r="A7" s="527" t="s">
        <v>4</v>
      </c>
      <c r="B7" s="528"/>
      <c r="C7" s="528"/>
      <c r="D7" s="528"/>
      <c r="E7" s="529"/>
      <c r="F7" s="421"/>
    </row>
    <row r="8" spans="1:8">
      <c r="A8" s="527" t="s">
        <v>5</v>
      </c>
      <c r="B8" s="528"/>
      <c r="C8" s="528"/>
      <c r="D8" s="528"/>
      <c r="E8" s="529"/>
      <c r="F8" s="422"/>
      <c r="G8" s="409"/>
    </row>
    <row r="9" spans="1:8">
      <c r="A9" s="530" t="s">
        <v>6</v>
      </c>
      <c r="B9" s="530"/>
      <c r="C9" s="530"/>
      <c r="D9" s="530"/>
      <c r="E9" s="530"/>
      <c r="F9" s="233"/>
      <c r="G9" s="423"/>
    </row>
    <row r="10" spans="1:8" ht="15.75">
      <c r="A10" s="520" t="s">
        <v>7</v>
      </c>
      <c r="B10" s="521"/>
      <c r="C10" s="521"/>
      <c r="D10" s="521"/>
      <c r="E10" s="522"/>
      <c r="F10" s="233"/>
      <c r="G10" s="423"/>
    </row>
    <row r="11" spans="1:8" ht="15.75">
      <c r="A11" s="520" t="s">
        <v>8</v>
      </c>
      <c r="B11" s="521"/>
      <c r="C11" s="521"/>
      <c r="D11" s="521"/>
      <c r="E11" s="522"/>
      <c r="F11" s="233"/>
      <c r="G11" s="423"/>
    </row>
    <row r="12" spans="1:8" ht="15.75">
      <c r="A12" s="520" t="s">
        <v>9</v>
      </c>
      <c r="B12" s="521"/>
      <c r="C12" s="521"/>
      <c r="D12" s="521"/>
      <c r="E12" s="522"/>
      <c r="F12" s="421"/>
    </row>
    <row r="13" spans="1:8" ht="15.75">
      <c r="A13" s="424"/>
      <c r="B13" s="425"/>
      <c r="C13" s="426"/>
      <c r="D13" s="427"/>
      <c r="E13" s="428"/>
      <c r="F13" s="429"/>
    </row>
    <row r="14" spans="1:8" ht="15.75">
      <c r="A14" s="430"/>
      <c r="B14" s="534" t="s">
        <v>34</v>
      </c>
      <c r="C14" s="535"/>
      <c r="D14" s="535"/>
      <c r="E14" s="536"/>
      <c r="F14" s="432"/>
    </row>
    <row r="15" spans="1:8" ht="15.75">
      <c r="A15" s="433"/>
      <c r="B15" s="434" t="s">
        <v>35</v>
      </c>
      <c r="C15" s="435" t="s">
        <v>36</v>
      </c>
      <c r="D15" s="435" t="s">
        <v>37</v>
      </c>
      <c r="E15" s="436" t="s">
        <v>15</v>
      </c>
      <c r="F15" s="437" t="s">
        <v>38</v>
      </c>
      <c r="H15" s="438"/>
    </row>
    <row r="16" spans="1:8" ht="15.75">
      <c r="A16" s="439"/>
      <c r="B16" s="534" t="s">
        <v>39</v>
      </c>
      <c r="C16" s="535"/>
      <c r="D16" s="535"/>
      <c r="E16" s="536"/>
      <c r="F16" s="440"/>
      <c r="H16" s="438"/>
    </row>
    <row r="17" spans="1:6" ht="15.75">
      <c r="A17" s="441">
        <v>1</v>
      </c>
      <c r="B17" s="442" t="s">
        <v>40</v>
      </c>
      <c r="C17" s="443">
        <v>700</v>
      </c>
      <c r="D17" s="444">
        <v>1</v>
      </c>
      <c r="E17" s="445">
        <f>D17*C17</f>
        <v>700</v>
      </c>
      <c r="F17" s="446">
        <f>E17/12</f>
        <v>58.333333333333336</v>
      </c>
    </row>
    <row r="18" spans="1:6" ht="15.75">
      <c r="A18" s="447"/>
      <c r="B18" s="448" t="s">
        <v>41</v>
      </c>
      <c r="C18" s="449"/>
      <c r="D18" s="450"/>
      <c r="E18" s="451"/>
      <c r="F18" s="452">
        <f>F17</f>
        <v>58.333333333333336</v>
      </c>
    </row>
    <row r="19" spans="1:6" ht="15.75">
      <c r="A19" s="453"/>
      <c r="B19" s="454"/>
      <c r="C19" s="531" t="s">
        <v>42</v>
      </c>
      <c r="D19" s="532"/>
      <c r="E19" s="533"/>
      <c r="F19" s="455">
        <f>F18</f>
        <v>58.333333333333336</v>
      </c>
    </row>
    <row r="20" spans="1:6" ht="15.75">
      <c r="A20" s="456"/>
      <c r="B20" s="534" t="s">
        <v>39</v>
      </c>
      <c r="C20" s="535"/>
      <c r="D20" s="535"/>
      <c r="E20" s="536"/>
      <c r="F20" s="457"/>
    </row>
    <row r="21" spans="1:6" ht="42.75">
      <c r="A21" s="456"/>
      <c r="B21" s="458" t="s">
        <v>35</v>
      </c>
      <c r="C21" s="431" t="s">
        <v>36</v>
      </c>
      <c r="D21" s="459" t="s">
        <v>37</v>
      </c>
      <c r="E21" s="458" t="s">
        <v>15</v>
      </c>
      <c r="F21" s="457" t="s">
        <v>38</v>
      </c>
    </row>
    <row r="22" spans="1:6" ht="15.75">
      <c r="A22" s="421">
        <v>1</v>
      </c>
      <c r="B22" s="460" t="s">
        <v>43</v>
      </c>
      <c r="C22" s="443">
        <v>1550</v>
      </c>
      <c r="D22" s="444">
        <v>1</v>
      </c>
      <c r="E22" s="445">
        <f>D22*C22</f>
        <v>1550</v>
      </c>
      <c r="F22" s="445">
        <f>E22/48</f>
        <v>32.291666666666664</v>
      </c>
    </row>
    <row r="23" spans="1:6" ht="30">
      <c r="A23" s="441">
        <v>2</v>
      </c>
      <c r="B23" s="442" t="s">
        <v>44</v>
      </c>
      <c r="C23" s="443">
        <v>135</v>
      </c>
      <c r="D23" s="444">
        <v>1</v>
      </c>
      <c r="E23" s="445">
        <f>D23*C23</f>
        <v>135</v>
      </c>
      <c r="F23" s="446">
        <f>E23/12</f>
        <v>11.25</v>
      </c>
    </row>
    <row r="24" spans="1:6" ht="30">
      <c r="A24" s="421">
        <v>2</v>
      </c>
      <c r="B24" s="442" t="s">
        <v>45</v>
      </c>
      <c r="C24" s="443">
        <v>120</v>
      </c>
      <c r="D24" s="444">
        <v>1</v>
      </c>
      <c r="E24" s="445">
        <f t="shared" ref="E24:E29" si="0">D24*C24</f>
        <v>120</v>
      </c>
      <c r="F24" s="445">
        <f t="shared" ref="F24:F25" si="1">E24/12</f>
        <v>10</v>
      </c>
    </row>
    <row r="25" spans="1:6" ht="15.75">
      <c r="A25" s="421">
        <v>3</v>
      </c>
      <c r="B25" s="442" t="s">
        <v>46</v>
      </c>
      <c r="C25" s="443">
        <v>10</v>
      </c>
      <c r="D25" s="444">
        <v>1</v>
      </c>
      <c r="E25" s="445">
        <f t="shared" si="0"/>
        <v>10</v>
      </c>
      <c r="F25" s="445">
        <f t="shared" si="1"/>
        <v>0.83333333333333337</v>
      </c>
    </row>
    <row r="26" spans="1:6" ht="15.75">
      <c r="A26" s="421">
        <v>4</v>
      </c>
      <c r="B26" s="460" t="s">
        <v>47</v>
      </c>
      <c r="C26" s="443">
        <v>3850</v>
      </c>
      <c r="D26" s="444">
        <v>1</v>
      </c>
      <c r="E26" s="445">
        <f t="shared" si="0"/>
        <v>3850</v>
      </c>
      <c r="F26" s="445">
        <f>E26/120</f>
        <v>32.083333333333336</v>
      </c>
    </row>
    <row r="27" spans="1:6" ht="30">
      <c r="A27" s="421">
        <v>5</v>
      </c>
      <c r="B27" s="460" t="s">
        <v>48</v>
      </c>
      <c r="C27" s="443">
        <v>4</v>
      </c>
      <c r="D27" s="444">
        <v>12</v>
      </c>
      <c r="E27" s="445">
        <f t="shared" si="0"/>
        <v>48</v>
      </c>
      <c r="F27" s="445">
        <f>E27/12</f>
        <v>4</v>
      </c>
    </row>
    <row r="28" spans="1:6" ht="15.75">
      <c r="A28" s="421">
        <v>6</v>
      </c>
      <c r="B28" s="442" t="s">
        <v>49</v>
      </c>
      <c r="C28" s="443">
        <v>201</v>
      </c>
      <c r="D28" s="444">
        <v>1</v>
      </c>
      <c r="E28" s="445">
        <f t="shared" si="0"/>
        <v>201</v>
      </c>
      <c r="F28" s="445">
        <f>E28/48</f>
        <v>4.1875</v>
      </c>
    </row>
    <row r="29" spans="1:6" ht="15.75">
      <c r="A29" s="421">
        <v>7</v>
      </c>
      <c r="B29" s="442" t="s">
        <v>50</v>
      </c>
      <c r="C29" s="443">
        <v>8.0785</v>
      </c>
      <c r="D29" s="444">
        <v>1</v>
      </c>
      <c r="E29" s="445">
        <f t="shared" si="0"/>
        <v>8.0785</v>
      </c>
      <c r="F29" s="445">
        <f t="shared" ref="F29" si="2">E29/12</f>
        <v>0.6732083333333333</v>
      </c>
    </row>
    <row r="30" spans="1:6" ht="30">
      <c r="A30" s="421">
        <v>8</v>
      </c>
      <c r="B30" s="442" t="s">
        <v>51</v>
      </c>
      <c r="C30" s="443">
        <v>412</v>
      </c>
      <c r="D30" s="444">
        <v>1</v>
      </c>
      <c r="E30" s="445">
        <f t="shared" ref="E30:E31" si="3">C30*D30</f>
        <v>412</v>
      </c>
      <c r="F30" s="445">
        <f>E30/60</f>
        <v>6.8666666666666663</v>
      </c>
    </row>
    <row r="31" spans="1:6" ht="15.75">
      <c r="A31" s="421">
        <v>9</v>
      </c>
      <c r="B31" s="461" t="s">
        <v>52</v>
      </c>
      <c r="C31" s="443">
        <v>35</v>
      </c>
      <c r="D31" s="444">
        <v>1</v>
      </c>
      <c r="E31" s="445">
        <f t="shared" si="3"/>
        <v>35</v>
      </c>
      <c r="F31" s="445">
        <f>E31/60</f>
        <v>0.58333333333333337</v>
      </c>
    </row>
    <row r="32" spans="1:6" ht="15.75">
      <c r="A32" s="421"/>
      <c r="B32" s="462" t="s">
        <v>15</v>
      </c>
      <c r="C32" s="463"/>
      <c r="D32" s="464"/>
      <c r="E32" s="445"/>
      <c r="F32" s="445">
        <f>SUM(F22:F31)</f>
        <v>102.76904166666667</v>
      </c>
    </row>
    <row r="33" spans="1:7" ht="15.75">
      <c r="A33" s="465"/>
      <c r="B33" s="537" t="s">
        <v>53</v>
      </c>
      <c r="C33" s="538"/>
      <c r="D33" s="539"/>
      <c r="E33" s="466"/>
      <c r="F33" s="466">
        <f>F32</f>
        <v>102.76904166666667</v>
      </c>
      <c r="G33" s="438"/>
    </row>
    <row r="34" spans="1:7">
      <c r="B34" s="519" t="s">
        <v>54</v>
      </c>
      <c r="C34" s="519"/>
      <c r="D34" s="519"/>
      <c r="E34" s="519"/>
      <c r="F34" s="519"/>
    </row>
  </sheetData>
  <mergeCells count="14">
    <mergeCell ref="C3:F3"/>
    <mergeCell ref="C6:F6"/>
    <mergeCell ref="A7:E7"/>
    <mergeCell ref="A8:E8"/>
    <mergeCell ref="A9:E9"/>
    <mergeCell ref="C19:E19"/>
    <mergeCell ref="B20:E20"/>
    <mergeCell ref="B33:D33"/>
    <mergeCell ref="B34:F34"/>
    <mergeCell ref="A10:E10"/>
    <mergeCell ref="A11:E11"/>
    <mergeCell ref="A12:E12"/>
    <mergeCell ref="B14:E14"/>
    <mergeCell ref="B16:E16"/>
  </mergeCells>
  <pageMargins left="0.511811024" right="0.511811024" top="0.78740157499999996" bottom="0.78740157499999996" header="0.31496062000000002" footer="0.31496062000000002"/>
  <pageSetup paperSize="9" scale="7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workbookViewId="0">
      <selection activeCell="I12" sqref="I12"/>
    </sheetView>
  </sheetViews>
  <sheetFormatPr defaultColWidth="9.140625" defaultRowHeight="15"/>
  <cols>
    <col min="1" max="1" width="6" style="415" customWidth="1"/>
    <col min="2" max="2" width="24.5703125" style="415" customWidth="1"/>
    <col min="3" max="3" width="19.85546875" style="415" customWidth="1"/>
    <col min="4" max="4" width="9.140625" style="415"/>
    <col min="5" max="5" width="19.42578125" style="415" customWidth="1"/>
    <col min="6" max="6" width="20.5703125" style="415" customWidth="1"/>
    <col min="7" max="7" width="9.140625" style="415"/>
    <col min="8" max="8" width="9.85546875" style="415" customWidth="1"/>
    <col min="9" max="16384" width="9.140625" style="415"/>
  </cols>
  <sheetData>
    <row r="1" spans="1:7">
      <c r="A1" s="467"/>
      <c r="B1" s="468"/>
      <c r="C1" s="468"/>
      <c r="D1" s="468"/>
      <c r="E1" s="468"/>
      <c r="F1" s="469"/>
    </row>
    <row r="2" spans="1:7">
      <c r="A2" s="470"/>
      <c r="F2" s="471"/>
    </row>
    <row r="3" spans="1:7" ht="15.75">
      <c r="A3" s="470"/>
      <c r="C3" s="523" t="s">
        <v>0</v>
      </c>
      <c r="D3" s="523"/>
      <c r="E3" s="523"/>
      <c r="F3" s="524"/>
    </row>
    <row r="4" spans="1:7">
      <c r="A4" s="470"/>
      <c r="C4" s="420" t="s">
        <v>1</v>
      </c>
      <c r="D4" s="420"/>
      <c r="E4" s="420"/>
      <c r="F4" s="471"/>
    </row>
    <row r="5" spans="1:7">
      <c r="A5" s="470"/>
      <c r="C5" s="420" t="s">
        <v>2</v>
      </c>
      <c r="D5" s="420"/>
      <c r="E5" s="420"/>
      <c r="F5" s="471"/>
    </row>
    <row r="6" spans="1:7" ht="15.75">
      <c r="A6" s="472"/>
      <c r="B6" s="473"/>
      <c r="C6" s="525" t="s">
        <v>3</v>
      </c>
      <c r="D6" s="525"/>
      <c r="E6" s="525"/>
      <c r="F6" s="526"/>
    </row>
    <row r="7" spans="1:7">
      <c r="A7" s="527" t="s">
        <v>4</v>
      </c>
      <c r="B7" s="528"/>
      <c r="C7" s="528"/>
      <c r="D7" s="528"/>
      <c r="E7" s="529"/>
      <c r="F7" s="421"/>
    </row>
    <row r="8" spans="1:7">
      <c r="A8" s="527" t="s">
        <v>5</v>
      </c>
      <c r="B8" s="528"/>
      <c r="C8" s="528"/>
      <c r="D8" s="528"/>
      <c r="E8" s="529"/>
      <c r="F8" s="422"/>
      <c r="G8" s="409"/>
    </row>
    <row r="9" spans="1:7">
      <c r="A9" s="530" t="s">
        <v>6</v>
      </c>
      <c r="B9" s="530"/>
      <c r="C9" s="530"/>
      <c r="D9" s="530"/>
      <c r="E9" s="530"/>
      <c r="F9" s="233"/>
      <c r="G9" s="423"/>
    </row>
    <row r="10" spans="1:7" ht="15.75">
      <c r="A10" s="520" t="s">
        <v>7</v>
      </c>
      <c r="B10" s="521"/>
      <c r="C10" s="521"/>
      <c r="D10" s="521"/>
      <c r="E10" s="522"/>
      <c r="F10" s="233"/>
      <c r="G10" s="423"/>
    </row>
    <row r="11" spans="1:7" ht="15.75">
      <c r="A11" s="520" t="s">
        <v>8</v>
      </c>
      <c r="B11" s="521"/>
      <c r="C11" s="521"/>
      <c r="D11" s="521"/>
      <c r="E11" s="522"/>
      <c r="F11" s="233"/>
      <c r="G11" s="423"/>
    </row>
    <row r="12" spans="1:7" ht="15.75">
      <c r="A12" s="520" t="s">
        <v>9</v>
      </c>
      <c r="B12" s="521"/>
      <c r="C12" s="521"/>
      <c r="D12" s="521"/>
      <c r="E12" s="522"/>
      <c r="F12" s="233"/>
      <c r="G12" s="423"/>
    </row>
    <row r="13" spans="1:7" ht="19.5">
      <c r="A13" s="513" t="s">
        <v>10</v>
      </c>
      <c r="B13" s="514"/>
      <c r="C13" s="514"/>
      <c r="D13" s="514"/>
      <c r="E13" s="514"/>
      <c r="F13" s="515"/>
    </row>
    <row r="14" spans="1:7" ht="31.5">
      <c r="A14" s="474" t="s">
        <v>11</v>
      </c>
      <c r="B14" s="474" t="s">
        <v>12</v>
      </c>
      <c r="C14" s="475" t="s">
        <v>13</v>
      </c>
      <c r="D14" s="475" t="s">
        <v>14</v>
      </c>
      <c r="E14" s="475" t="s">
        <v>15</v>
      </c>
      <c r="F14" s="475" t="s">
        <v>16</v>
      </c>
      <c r="G14" s="476"/>
    </row>
    <row r="15" spans="1:7" ht="15.75">
      <c r="A15" s="444">
        <v>1</v>
      </c>
      <c r="B15" s="477" t="s">
        <v>17</v>
      </c>
      <c r="C15" s="445">
        <v>65</v>
      </c>
      <c r="D15" s="444">
        <v>2</v>
      </c>
      <c r="E15" s="445">
        <f>C15*D15</f>
        <v>130</v>
      </c>
      <c r="F15" s="445">
        <f>E15/6</f>
        <v>21.666666666666668</v>
      </c>
      <c r="G15" s="415" t="s">
        <v>18</v>
      </c>
    </row>
    <row r="16" spans="1:7" ht="31.5">
      <c r="A16" s="444">
        <v>2</v>
      </c>
      <c r="B16" s="477" t="s">
        <v>19</v>
      </c>
      <c r="C16" s="445">
        <v>55</v>
      </c>
      <c r="D16" s="444">
        <v>3</v>
      </c>
      <c r="E16" s="445">
        <f t="shared" ref="E16:E24" si="0">C16*D16</f>
        <v>165</v>
      </c>
      <c r="F16" s="445">
        <f t="shared" ref="F16:F23" si="1">E16/6</f>
        <v>27.5</v>
      </c>
      <c r="G16" s="415" t="s">
        <v>18</v>
      </c>
    </row>
    <row r="17" spans="1:8" ht="15.75">
      <c r="A17" s="444">
        <v>3</v>
      </c>
      <c r="B17" s="477" t="s">
        <v>20</v>
      </c>
      <c r="C17" s="445">
        <v>25</v>
      </c>
      <c r="D17" s="444">
        <v>1</v>
      </c>
      <c r="E17" s="445">
        <f t="shared" si="0"/>
        <v>25</v>
      </c>
      <c r="F17" s="445">
        <f t="shared" si="1"/>
        <v>4.166666666666667</v>
      </c>
      <c r="G17" s="415" t="s">
        <v>18</v>
      </c>
    </row>
    <row r="18" spans="1:8" ht="15.75">
      <c r="A18" s="444">
        <v>4</v>
      </c>
      <c r="B18" s="477" t="s">
        <v>21</v>
      </c>
      <c r="C18" s="445">
        <v>130</v>
      </c>
      <c r="D18" s="444">
        <v>1</v>
      </c>
      <c r="E18" s="445">
        <f t="shared" si="0"/>
        <v>130</v>
      </c>
      <c r="F18" s="445">
        <f t="shared" si="1"/>
        <v>21.666666666666668</v>
      </c>
      <c r="G18" s="415" t="s">
        <v>18</v>
      </c>
    </row>
    <row r="19" spans="1:8" ht="15.75">
      <c r="A19" s="444">
        <f>A18+1</f>
        <v>5</v>
      </c>
      <c r="B19" s="477" t="s">
        <v>22</v>
      </c>
      <c r="C19" s="445">
        <v>12</v>
      </c>
      <c r="D19" s="444">
        <v>2</v>
      </c>
      <c r="E19" s="445">
        <f t="shared" si="0"/>
        <v>24</v>
      </c>
      <c r="F19" s="445">
        <f t="shared" si="1"/>
        <v>4</v>
      </c>
      <c r="G19" s="415" t="s">
        <v>18</v>
      </c>
    </row>
    <row r="20" spans="1:8" ht="15.75">
      <c r="A20" s="444">
        <f t="shared" ref="A20:A21" si="2">A19+1</f>
        <v>6</v>
      </c>
      <c r="B20" s="477" t="s">
        <v>23</v>
      </c>
      <c r="C20" s="445">
        <v>35</v>
      </c>
      <c r="D20" s="444">
        <v>1</v>
      </c>
      <c r="E20" s="445">
        <f t="shared" si="0"/>
        <v>35</v>
      </c>
      <c r="F20" s="445">
        <f t="shared" si="1"/>
        <v>5.833333333333333</v>
      </c>
      <c r="G20" s="415" t="s">
        <v>18</v>
      </c>
    </row>
    <row r="21" spans="1:8" ht="15.75">
      <c r="A21" s="444">
        <f t="shared" si="2"/>
        <v>7</v>
      </c>
      <c r="B21" s="478" t="s">
        <v>24</v>
      </c>
      <c r="C21" s="445">
        <v>10</v>
      </c>
      <c r="D21" s="444">
        <v>1</v>
      </c>
      <c r="E21" s="445">
        <f t="shared" si="0"/>
        <v>10</v>
      </c>
      <c r="F21" s="445">
        <f t="shared" si="1"/>
        <v>1.6666666666666667</v>
      </c>
      <c r="G21" s="415" t="s">
        <v>18</v>
      </c>
    </row>
    <row r="22" spans="1:8" ht="15.75">
      <c r="A22" s="444">
        <v>8</v>
      </c>
      <c r="B22" s="478" t="s">
        <v>25</v>
      </c>
      <c r="C22" s="445">
        <v>10</v>
      </c>
      <c r="D22" s="444">
        <v>1</v>
      </c>
      <c r="E22" s="445">
        <f t="shared" si="0"/>
        <v>10</v>
      </c>
      <c r="F22" s="445">
        <f t="shared" si="1"/>
        <v>1.6666666666666667</v>
      </c>
      <c r="G22" s="415" t="s">
        <v>18</v>
      </c>
    </row>
    <row r="23" spans="1:8" ht="15.75">
      <c r="A23" s="444">
        <v>9</v>
      </c>
      <c r="B23" s="477" t="s">
        <v>26</v>
      </c>
      <c r="C23" s="445">
        <v>85</v>
      </c>
      <c r="D23" s="444">
        <v>1</v>
      </c>
      <c r="E23" s="445">
        <f t="shared" si="0"/>
        <v>85</v>
      </c>
      <c r="F23" s="445">
        <f t="shared" si="1"/>
        <v>14.166666666666666</v>
      </c>
      <c r="G23" s="415" t="s">
        <v>18</v>
      </c>
    </row>
    <row r="24" spans="1:8" ht="15.75">
      <c r="A24" s="479"/>
      <c r="B24" s="480"/>
      <c r="C24" s="445">
        <v>0</v>
      </c>
      <c r="D24" s="444">
        <v>1</v>
      </c>
      <c r="E24" s="445">
        <f t="shared" si="0"/>
        <v>0</v>
      </c>
      <c r="F24" s="445">
        <f t="shared" ref="F24" si="3">E24/12</f>
        <v>0</v>
      </c>
    </row>
    <row r="25" spans="1:8" ht="15.75">
      <c r="A25" s="479"/>
      <c r="B25" s="481"/>
      <c r="C25" s="482"/>
      <c r="D25" s="483"/>
      <c r="E25" s="484"/>
      <c r="F25" s="445"/>
    </row>
    <row r="26" spans="1:8" ht="15.75">
      <c r="A26" s="516" t="s">
        <v>27</v>
      </c>
      <c r="B26" s="517"/>
      <c r="C26" s="517"/>
      <c r="D26" s="517"/>
      <c r="E26" s="518"/>
      <c r="F26" s="485">
        <f>SUM(F15:F25)</f>
        <v>102.33333333333334</v>
      </c>
    </row>
    <row r="29" spans="1:8" ht="19.5">
      <c r="A29" s="513" t="s">
        <v>28</v>
      </c>
      <c r="B29" s="514"/>
      <c r="C29" s="514"/>
      <c r="D29" s="514"/>
      <c r="E29" s="514"/>
      <c r="F29" s="515"/>
      <c r="H29" s="438"/>
    </row>
    <row r="30" spans="1:8" ht="31.5">
      <c r="A30" s="474" t="s">
        <v>11</v>
      </c>
      <c r="B30" s="474" t="s">
        <v>12</v>
      </c>
      <c r="C30" s="475" t="s">
        <v>13</v>
      </c>
      <c r="D30" s="475" t="s">
        <v>29</v>
      </c>
      <c r="E30" s="475" t="s">
        <v>15</v>
      </c>
      <c r="F30" s="475" t="s">
        <v>16</v>
      </c>
    </row>
    <row r="31" spans="1:8" ht="15.75">
      <c r="A31" s="444">
        <v>1</v>
      </c>
      <c r="B31" s="477" t="s">
        <v>30</v>
      </c>
      <c r="C31" s="445">
        <v>35</v>
      </c>
      <c r="D31" s="444">
        <v>1</v>
      </c>
      <c r="E31" s="445">
        <f>C31*D31</f>
        <v>35</v>
      </c>
      <c r="F31" s="445">
        <f>E31/12</f>
        <v>2.9166666666666665</v>
      </c>
      <c r="G31" s="415" t="s">
        <v>31</v>
      </c>
    </row>
    <row r="32" spans="1:8" ht="15.75">
      <c r="A32" s="444">
        <v>2</v>
      </c>
      <c r="B32" s="477" t="s">
        <v>32</v>
      </c>
      <c r="C32" s="445">
        <v>25</v>
      </c>
      <c r="D32" s="444">
        <v>1</v>
      </c>
      <c r="E32" s="445">
        <f t="shared" ref="E32" si="4">C32*D32</f>
        <v>25</v>
      </c>
      <c r="F32" s="445">
        <f>E32/12</f>
        <v>2.0833333333333335</v>
      </c>
      <c r="G32" s="415" t="s">
        <v>31</v>
      </c>
    </row>
    <row r="33" spans="1:6" ht="15.75">
      <c r="A33" s="479"/>
      <c r="B33" s="477"/>
      <c r="C33" s="482"/>
      <c r="D33" s="483"/>
      <c r="E33" s="484"/>
      <c r="F33" s="445"/>
    </row>
    <row r="34" spans="1:6" ht="15.75">
      <c r="A34" s="516" t="s">
        <v>27</v>
      </c>
      <c r="B34" s="517"/>
      <c r="C34" s="517"/>
      <c r="D34" s="517"/>
      <c r="E34" s="518"/>
      <c r="F34" s="485">
        <f>SUM(F31:F33)</f>
        <v>5</v>
      </c>
    </row>
    <row r="36" spans="1:6">
      <c r="B36" s="519" t="s">
        <v>33</v>
      </c>
      <c r="C36" s="519"/>
      <c r="D36" s="519"/>
      <c r="E36" s="519"/>
      <c r="F36" s="519"/>
    </row>
  </sheetData>
  <mergeCells count="13">
    <mergeCell ref="C3:F3"/>
    <mergeCell ref="C6:F6"/>
    <mergeCell ref="A7:E7"/>
    <mergeCell ref="A8:E8"/>
    <mergeCell ref="A9:E9"/>
    <mergeCell ref="A29:F29"/>
    <mergeCell ref="A34:E34"/>
    <mergeCell ref="B36:F36"/>
    <mergeCell ref="A10:E10"/>
    <mergeCell ref="A11:E11"/>
    <mergeCell ref="A12:E12"/>
    <mergeCell ref="A13:F13"/>
    <mergeCell ref="A26:E26"/>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workbookViewId="0">
      <selection activeCell="J10" sqref="J10"/>
    </sheetView>
  </sheetViews>
  <sheetFormatPr defaultColWidth="9.140625" defaultRowHeight="15"/>
  <cols>
    <col min="1" max="1" width="6" style="415" customWidth="1"/>
    <col min="2" max="2" width="30.85546875" style="415" customWidth="1"/>
    <col min="3" max="3" width="19.5703125" style="415" customWidth="1"/>
    <col min="4" max="4" width="9.140625" style="415"/>
    <col min="5" max="5" width="25.5703125" style="415" customWidth="1"/>
    <col min="6" max="6" width="19" style="415" customWidth="1"/>
    <col min="7" max="16384" width="9.140625" style="415"/>
  </cols>
  <sheetData>
    <row r="1" spans="1:8">
      <c r="A1" s="416"/>
      <c r="B1" s="417"/>
      <c r="C1" s="417"/>
      <c r="D1" s="417"/>
      <c r="E1" s="417"/>
      <c r="F1" s="418"/>
    </row>
    <row r="2" spans="1:8">
      <c r="A2" s="419"/>
      <c r="F2" s="228"/>
    </row>
    <row r="3" spans="1:8" ht="15.75">
      <c r="A3" s="419"/>
      <c r="C3" s="523" t="s">
        <v>0</v>
      </c>
      <c r="D3" s="523"/>
      <c r="E3" s="523"/>
      <c r="F3" s="540"/>
    </row>
    <row r="4" spans="1:8">
      <c r="A4" s="419"/>
      <c r="C4" s="420" t="s">
        <v>1</v>
      </c>
      <c r="D4" s="420"/>
      <c r="E4" s="420"/>
      <c r="F4" s="228"/>
    </row>
    <row r="5" spans="1:8">
      <c r="A5" s="419"/>
      <c r="C5" s="420" t="s">
        <v>2</v>
      </c>
      <c r="D5" s="420"/>
      <c r="E5" s="420"/>
      <c r="F5" s="228"/>
    </row>
    <row r="6" spans="1:8" ht="15.75">
      <c r="A6" s="419"/>
      <c r="C6" s="541" t="s">
        <v>3</v>
      </c>
      <c r="D6" s="541"/>
      <c r="E6" s="541"/>
      <c r="F6" s="542"/>
    </row>
    <row r="7" spans="1:8">
      <c r="A7" s="527" t="s">
        <v>4</v>
      </c>
      <c r="B7" s="528"/>
      <c r="C7" s="528"/>
      <c r="D7" s="528"/>
      <c r="E7" s="529"/>
      <c r="F7" s="421"/>
    </row>
    <row r="8" spans="1:8">
      <c r="A8" s="527" t="s">
        <v>5</v>
      </c>
      <c r="B8" s="528"/>
      <c r="C8" s="528"/>
      <c r="D8" s="528"/>
      <c r="E8" s="529"/>
      <c r="F8" s="422"/>
      <c r="G8" s="409"/>
    </row>
    <row r="9" spans="1:8">
      <c r="A9" s="530" t="s">
        <v>6</v>
      </c>
      <c r="B9" s="530"/>
      <c r="C9" s="530"/>
      <c r="D9" s="530"/>
      <c r="E9" s="530"/>
      <c r="F9" s="233"/>
      <c r="G9" s="423"/>
    </row>
    <row r="10" spans="1:8" ht="15.75">
      <c r="A10" s="520" t="s">
        <v>7</v>
      </c>
      <c r="B10" s="521"/>
      <c r="C10" s="521"/>
      <c r="D10" s="521"/>
      <c r="E10" s="522"/>
      <c r="F10" s="233"/>
      <c r="G10" s="423"/>
    </row>
    <row r="11" spans="1:8" ht="15.75">
      <c r="A11" s="520" t="s">
        <v>8</v>
      </c>
      <c r="B11" s="521"/>
      <c r="C11" s="521"/>
      <c r="D11" s="521"/>
      <c r="E11" s="522"/>
      <c r="F11" s="233"/>
      <c r="G11" s="423"/>
    </row>
    <row r="12" spans="1:8" ht="15.75">
      <c r="A12" s="520" t="s">
        <v>9</v>
      </c>
      <c r="B12" s="521"/>
      <c r="C12" s="521"/>
      <c r="D12" s="521"/>
      <c r="E12" s="522"/>
      <c r="F12" s="421"/>
    </row>
    <row r="13" spans="1:8" ht="15.75">
      <c r="A13" s="424"/>
      <c r="B13" s="425"/>
      <c r="C13" s="426"/>
      <c r="D13" s="427"/>
      <c r="E13" s="428"/>
      <c r="F13" s="429"/>
    </row>
    <row r="14" spans="1:8" ht="15.75">
      <c r="A14" s="430"/>
      <c r="B14" s="534" t="s">
        <v>34</v>
      </c>
      <c r="C14" s="535"/>
      <c r="D14" s="535"/>
      <c r="E14" s="536"/>
      <c r="F14" s="432"/>
    </row>
    <row r="15" spans="1:8" ht="15.75">
      <c r="A15" s="433"/>
      <c r="B15" s="434" t="s">
        <v>35</v>
      </c>
      <c r="C15" s="435" t="s">
        <v>36</v>
      </c>
      <c r="D15" s="435" t="s">
        <v>37</v>
      </c>
      <c r="E15" s="436" t="s">
        <v>15</v>
      </c>
      <c r="F15" s="437" t="s">
        <v>38</v>
      </c>
      <c r="H15" s="438"/>
    </row>
    <row r="16" spans="1:8" ht="15.75">
      <c r="A16" s="439"/>
      <c r="B16" s="534" t="s">
        <v>39</v>
      </c>
      <c r="C16" s="535"/>
      <c r="D16" s="535"/>
      <c r="E16" s="536"/>
      <c r="F16" s="440"/>
      <c r="H16" s="438"/>
    </row>
    <row r="17" spans="1:6" ht="15.75">
      <c r="A17" s="441">
        <v>1</v>
      </c>
      <c r="B17" s="442" t="s">
        <v>40</v>
      </c>
      <c r="C17" s="443">
        <v>700</v>
      </c>
      <c r="D17" s="444">
        <v>1</v>
      </c>
      <c r="E17" s="445">
        <f>D17*C17</f>
        <v>700</v>
      </c>
      <c r="F17" s="446">
        <f>E17/12</f>
        <v>58.333333333333336</v>
      </c>
    </row>
    <row r="18" spans="1:6" ht="15.75">
      <c r="A18" s="447"/>
      <c r="B18" s="448" t="s">
        <v>41</v>
      </c>
      <c r="C18" s="449"/>
      <c r="D18" s="450"/>
      <c r="E18" s="451"/>
      <c r="F18" s="452">
        <f>F17</f>
        <v>58.333333333333336</v>
      </c>
    </row>
    <row r="19" spans="1:6" ht="15.75">
      <c r="A19" s="453"/>
      <c r="B19" s="454"/>
      <c r="C19" s="531" t="s">
        <v>42</v>
      </c>
      <c r="D19" s="532"/>
      <c r="E19" s="533"/>
      <c r="F19" s="455">
        <f>F18</f>
        <v>58.333333333333336</v>
      </c>
    </row>
    <row r="20" spans="1:6" ht="15.75">
      <c r="A20" s="456"/>
      <c r="B20" s="534" t="s">
        <v>39</v>
      </c>
      <c r="C20" s="535"/>
      <c r="D20" s="535"/>
      <c r="E20" s="536"/>
      <c r="F20" s="457"/>
    </row>
    <row r="21" spans="1:6" ht="42.75">
      <c r="A21" s="456"/>
      <c r="B21" s="458" t="s">
        <v>35</v>
      </c>
      <c r="C21" s="431" t="s">
        <v>36</v>
      </c>
      <c r="D21" s="459" t="s">
        <v>37</v>
      </c>
      <c r="E21" s="458" t="s">
        <v>15</v>
      </c>
      <c r="F21" s="457" t="s">
        <v>38</v>
      </c>
    </row>
    <row r="22" spans="1:6" ht="15.75">
      <c r="A22" s="421">
        <v>1</v>
      </c>
      <c r="B22" s="460" t="s">
        <v>43</v>
      </c>
      <c r="C22" s="443">
        <v>1550</v>
      </c>
      <c r="D22" s="444">
        <v>1</v>
      </c>
      <c r="E22" s="445">
        <f>D22*C22</f>
        <v>1550</v>
      </c>
      <c r="F22" s="445">
        <f>E22/48</f>
        <v>32.291666666666664</v>
      </c>
    </row>
    <row r="23" spans="1:6" ht="30">
      <c r="A23" s="441">
        <v>2</v>
      </c>
      <c r="B23" s="442" t="s">
        <v>44</v>
      </c>
      <c r="C23" s="443">
        <v>135</v>
      </c>
      <c r="D23" s="444">
        <v>1</v>
      </c>
      <c r="E23" s="445">
        <f>D23*C23</f>
        <v>135</v>
      </c>
      <c r="F23" s="446">
        <f>E23/12</f>
        <v>11.25</v>
      </c>
    </row>
    <row r="24" spans="1:6" ht="30">
      <c r="A24" s="421">
        <v>2</v>
      </c>
      <c r="B24" s="442" t="s">
        <v>45</v>
      </c>
      <c r="C24" s="443">
        <v>120</v>
      </c>
      <c r="D24" s="444">
        <v>1</v>
      </c>
      <c r="E24" s="445">
        <f t="shared" ref="E24:E29" si="0">D24*C24</f>
        <v>120</v>
      </c>
      <c r="F24" s="445">
        <f t="shared" ref="F24:F25" si="1">E24/12</f>
        <v>10</v>
      </c>
    </row>
    <row r="25" spans="1:6" ht="15.75">
      <c r="A25" s="421">
        <v>3</v>
      </c>
      <c r="B25" s="442" t="s">
        <v>46</v>
      </c>
      <c r="C25" s="443">
        <v>10</v>
      </c>
      <c r="D25" s="444">
        <v>1</v>
      </c>
      <c r="E25" s="445">
        <f t="shared" si="0"/>
        <v>10</v>
      </c>
      <c r="F25" s="445">
        <f t="shared" si="1"/>
        <v>0.83333333333333337</v>
      </c>
    </row>
    <row r="26" spans="1:6" ht="15.75">
      <c r="A26" s="421">
        <v>4</v>
      </c>
      <c r="B26" s="460" t="s">
        <v>47</v>
      </c>
      <c r="C26" s="443">
        <v>3850</v>
      </c>
      <c r="D26" s="444">
        <v>1</v>
      </c>
      <c r="E26" s="445">
        <f t="shared" si="0"/>
        <v>3850</v>
      </c>
      <c r="F26" s="445">
        <f>E26/120</f>
        <v>32.083333333333336</v>
      </c>
    </row>
    <row r="27" spans="1:6" ht="30">
      <c r="A27" s="421">
        <v>5</v>
      </c>
      <c r="B27" s="460" t="s">
        <v>48</v>
      </c>
      <c r="C27" s="443">
        <v>4</v>
      </c>
      <c r="D27" s="444">
        <v>12</v>
      </c>
      <c r="E27" s="445">
        <f t="shared" si="0"/>
        <v>48</v>
      </c>
      <c r="F27" s="445">
        <f>E27/12</f>
        <v>4</v>
      </c>
    </row>
    <row r="28" spans="1:6" ht="15.75">
      <c r="A28" s="421">
        <v>6</v>
      </c>
      <c r="B28" s="442" t="s">
        <v>49</v>
      </c>
      <c r="C28" s="443">
        <v>201</v>
      </c>
      <c r="D28" s="444">
        <v>1</v>
      </c>
      <c r="E28" s="445">
        <f t="shared" si="0"/>
        <v>201</v>
      </c>
      <c r="F28" s="445">
        <f>E28/48</f>
        <v>4.1875</v>
      </c>
    </row>
    <row r="29" spans="1:6" ht="15.75">
      <c r="A29" s="421">
        <v>7</v>
      </c>
      <c r="B29" s="442" t="s">
        <v>50</v>
      </c>
      <c r="C29" s="443">
        <v>8.0785</v>
      </c>
      <c r="D29" s="444">
        <v>1</v>
      </c>
      <c r="E29" s="445">
        <f t="shared" si="0"/>
        <v>8.0785</v>
      </c>
      <c r="F29" s="445">
        <f t="shared" ref="F29" si="2">E29/12</f>
        <v>0.6732083333333333</v>
      </c>
    </row>
    <row r="30" spans="1:6" ht="30">
      <c r="A30" s="421">
        <v>8</v>
      </c>
      <c r="B30" s="442" t="s">
        <v>51</v>
      </c>
      <c r="C30" s="443">
        <v>412</v>
      </c>
      <c r="D30" s="444">
        <v>1</v>
      </c>
      <c r="E30" s="445">
        <f t="shared" ref="E30:E31" si="3">C30*D30</f>
        <v>412</v>
      </c>
      <c r="F30" s="445">
        <f>E30/60</f>
        <v>6.8666666666666663</v>
      </c>
    </row>
    <row r="31" spans="1:6" ht="15.75">
      <c r="A31" s="421">
        <v>9</v>
      </c>
      <c r="B31" s="461" t="s">
        <v>52</v>
      </c>
      <c r="C31" s="443">
        <v>35</v>
      </c>
      <c r="D31" s="444">
        <v>1</v>
      </c>
      <c r="E31" s="445">
        <f t="shared" si="3"/>
        <v>35</v>
      </c>
      <c r="F31" s="445">
        <f>E31/60</f>
        <v>0.58333333333333337</v>
      </c>
    </row>
    <row r="32" spans="1:6" ht="15.75">
      <c r="A32" s="421"/>
      <c r="B32" s="462" t="s">
        <v>15</v>
      </c>
      <c r="C32" s="463"/>
      <c r="D32" s="464"/>
      <c r="E32" s="445"/>
      <c r="F32" s="445">
        <f>SUM(F22:F31)</f>
        <v>102.76904166666667</v>
      </c>
    </row>
    <row r="33" spans="1:7" ht="15.75">
      <c r="A33" s="465"/>
      <c r="B33" s="537" t="s">
        <v>53</v>
      </c>
      <c r="C33" s="538"/>
      <c r="D33" s="539"/>
      <c r="E33" s="466"/>
      <c r="F33" s="466">
        <f>F32</f>
        <v>102.76904166666667</v>
      </c>
      <c r="G33" s="438"/>
    </row>
    <row r="34" spans="1:7">
      <c r="B34" s="519" t="s">
        <v>54</v>
      </c>
      <c r="C34" s="519"/>
      <c r="D34" s="519"/>
      <c r="E34" s="519"/>
      <c r="F34" s="519"/>
    </row>
  </sheetData>
  <mergeCells count="14">
    <mergeCell ref="C3:F3"/>
    <mergeCell ref="C6:F6"/>
    <mergeCell ref="A7:E7"/>
    <mergeCell ref="A8:E8"/>
    <mergeCell ref="A9:E9"/>
    <mergeCell ref="C19:E19"/>
    <mergeCell ref="B20:E20"/>
    <mergeCell ref="B33:D33"/>
    <mergeCell ref="B34:F34"/>
    <mergeCell ref="A10:E10"/>
    <mergeCell ref="A11:E11"/>
    <mergeCell ref="A12:E12"/>
    <mergeCell ref="B14:E14"/>
    <mergeCell ref="B16:E1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EA24D-06E1-4E62-B250-A44649564080}">
  <sheetPr>
    <tabColor theme="5"/>
  </sheetPr>
  <dimension ref="A1:I177"/>
  <sheetViews>
    <sheetView topLeftCell="A97" zoomScale="87" zoomScaleNormal="87" workbookViewId="0">
      <selection activeCell="D110" sqref="D110"/>
    </sheetView>
  </sheetViews>
  <sheetFormatPr defaultColWidth="55.7109375" defaultRowHeight="15.75"/>
  <cols>
    <col min="1" max="1" width="9.140625" style="225" customWidth="1"/>
    <col min="2" max="2" width="73.42578125" style="225" customWidth="1"/>
    <col min="3" max="3" width="18.140625" style="225" customWidth="1"/>
    <col min="4" max="4" width="19.140625" style="225" customWidth="1"/>
    <col min="5" max="5" width="20" style="225" customWidth="1"/>
    <col min="6" max="6" width="15" style="225" customWidth="1"/>
    <col min="7" max="7" width="20.5703125" style="225" customWidth="1"/>
    <col min="8" max="8" width="14.85546875" style="225" customWidth="1"/>
    <col min="9" max="9" width="10.5703125" style="225" customWidth="1"/>
    <col min="10" max="234" width="9.140625" style="225" customWidth="1"/>
    <col min="235" max="235" width="3.7109375" style="225" customWidth="1"/>
    <col min="236" max="245" width="55.7109375" style="225"/>
    <col min="246" max="246" width="9.140625" style="225" customWidth="1"/>
    <col min="247" max="247" width="73.42578125" style="225" customWidth="1"/>
    <col min="248" max="248" width="18.140625" style="225" customWidth="1"/>
    <col min="249" max="249" width="19.140625" style="225" customWidth="1"/>
    <col min="250" max="250" width="20" style="225" customWidth="1"/>
    <col min="251" max="251" width="15" style="225" customWidth="1"/>
    <col min="252" max="252" width="12.7109375" style="225" customWidth="1"/>
    <col min="253" max="253" width="64.42578125" style="225" customWidth="1"/>
    <col min="254" max="254" width="47" style="225" customWidth="1"/>
    <col min="255" max="490" width="9.140625" style="225" customWidth="1"/>
    <col min="491" max="491" width="3.7109375" style="225" customWidth="1"/>
    <col min="492" max="501" width="55.7109375" style="225"/>
    <col min="502" max="502" width="9.140625" style="225" customWidth="1"/>
    <col min="503" max="503" width="73.42578125" style="225" customWidth="1"/>
    <col min="504" max="504" width="18.140625" style="225" customWidth="1"/>
    <col min="505" max="505" width="19.140625" style="225" customWidth="1"/>
    <col min="506" max="506" width="20" style="225" customWidth="1"/>
    <col min="507" max="507" width="15" style="225" customWidth="1"/>
    <col min="508" max="508" width="12.7109375" style="225" customWidth="1"/>
    <col min="509" max="509" width="64.42578125" style="225" customWidth="1"/>
    <col min="510" max="510" width="47" style="225" customWidth="1"/>
    <col min="511" max="746" width="9.140625" style="225" customWidth="1"/>
    <col min="747" max="747" width="3.7109375" style="225" customWidth="1"/>
    <col min="748" max="757" width="55.7109375" style="225"/>
    <col min="758" max="758" width="9.140625" style="225" customWidth="1"/>
    <col min="759" max="759" width="73.42578125" style="225" customWidth="1"/>
    <col min="760" max="760" width="18.140625" style="225" customWidth="1"/>
    <col min="761" max="761" width="19.140625" style="225" customWidth="1"/>
    <col min="762" max="762" width="20" style="225" customWidth="1"/>
    <col min="763" max="763" width="15" style="225" customWidth="1"/>
    <col min="764" max="764" width="12.7109375" style="225" customWidth="1"/>
    <col min="765" max="765" width="64.42578125" style="225" customWidth="1"/>
    <col min="766" max="766" width="47" style="225" customWidth="1"/>
    <col min="767" max="1002" width="9.140625" style="225" customWidth="1"/>
    <col min="1003" max="1003" width="3.7109375" style="225" customWidth="1"/>
    <col min="1004" max="1013" width="55.7109375" style="225"/>
    <col min="1014" max="1014" width="9.140625" style="225" customWidth="1"/>
    <col min="1015" max="1015" width="73.42578125" style="225" customWidth="1"/>
    <col min="1016" max="1016" width="18.140625" style="225" customWidth="1"/>
    <col min="1017" max="1017" width="19.140625" style="225" customWidth="1"/>
    <col min="1018" max="1018" width="20" style="225" customWidth="1"/>
    <col min="1019" max="1019" width="15" style="225" customWidth="1"/>
    <col min="1020" max="1020" width="12.7109375" style="225" customWidth="1"/>
    <col min="1021" max="1021" width="64.42578125" style="225" customWidth="1"/>
    <col min="1022" max="1022" width="47" style="225" customWidth="1"/>
    <col min="1023" max="1258" width="9.140625" style="225" customWidth="1"/>
    <col min="1259" max="1259" width="3.7109375" style="225" customWidth="1"/>
    <col min="1260" max="1269" width="55.7109375" style="225"/>
    <col min="1270" max="1270" width="9.140625" style="225" customWidth="1"/>
    <col min="1271" max="1271" width="73.42578125" style="225" customWidth="1"/>
    <col min="1272" max="1272" width="18.140625" style="225" customWidth="1"/>
    <col min="1273" max="1273" width="19.140625" style="225" customWidth="1"/>
    <col min="1274" max="1274" width="20" style="225" customWidth="1"/>
    <col min="1275" max="1275" width="15" style="225" customWidth="1"/>
    <col min="1276" max="1276" width="12.7109375" style="225" customWidth="1"/>
    <col min="1277" max="1277" width="64.42578125" style="225" customWidth="1"/>
    <col min="1278" max="1278" width="47" style="225" customWidth="1"/>
    <col min="1279" max="1514" width="9.140625" style="225" customWidth="1"/>
    <col min="1515" max="1515" width="3.7109375" style="225" customWidth="1"/>
    <col min="1516" max="1525" width="55.7109375" style="225"/>
    <col min="1526" max="1526" width="9.140625" style="225" customWidth="1"/>
    <col min="1527" max="1527" width="73.42578125" style="225" customWidth="1"/>
    <col min="1528" max="1528" width="18.140625" style="225" customWidth="1"/>
    <col min="1529" max="1529" width="19.140625" style="225" customWidth="1"/>
    <col min="1530" max="1530" width="20" style="225" customWidth="1"/>
    <col min="1531" max="1531" width="15" style="225" customWidth="1"/>
    <col min="1532" max="1532" width="12.7109375" style="225" customWidth="1"/>
    <col min="1533" max="1533" width="64.42578125" style="225" customWidth="1"/>
    <col min="1534" max="1534" width="47" style="225" customWidth="1"/>
    <col min="1535" max="1770" width="9.140625" style="225" customWidth="1"/>
    <col min="1771" max="1771" width="3.7109375" style="225" customWidth="1"/>
    <col min="1772" max="1781" width="55.7109375" style="225"/>
    <col min="1782" max="1782" width="9.140625" style="225" customWidth="1"/>
    <col min="1783" max="1783" width="73.42578125" style="225" customWidth="1"/>
    <col min="1784" max="1784" width="18.140625" style="225" customWidth="1"/>
    <col min="1785" max="1785" width="19.140625" style="225" customWidth="1"/>
    <col min="1786" max="1786" width="20" style="225" customWidth="1"/>
    <col min="1787" max="1787" width="15" style="225" customWidth="1"/>
    <col min="1788" max="1788" width="12.7109375" style="225" customWidth="1"/>
    <col min="1789" max="1789" width="64.42578125" style="225" customWidth="1"/>
    <col min="1790" max="1790" width="47" style="225" customWidth="1"/>
    <col min="1791" max="2026" width="9.140625" style="225" customWidth="1"/>
    <col min="2027" max="2027" width="3.7109375" style="225" customWidth="1"/>
    <col min="2028" max="2037" width="55.7109375" style="225"/>
    <col min="2038" max="2038" width="9.140625" style="225" customWidth="1"/>
    <col min="2039" max="2039" width="73.42578125" style="225" customWidth="1"/>
    <col min="2040" max="2040" width="18.140625" style="225" customWidth="1"/>
    <col min="2041" max="2041" width="19.140625" style="225" customWidth="1"/>
    <col min="2042" max="2042" width="20" style="225" customWidth="1"/>
    <col min="2043" max="2043" width="15" style="225" customWidth="1"/>
    <col min="2044" max="2044" width="12.7109375" style="225" customWidth="1"/>
    <col min="2045" max="2045" width="64.42578125" style="225" customWidth="1"/>
    <col min="2046" max="2046" width="47" style="225" customWidth="1"/>
    <col min="2047" max="2282" width="9.140625" style="225" customWidth="1"/>
    <col min="2283" max="2283" width="3.7109375" style="225" customWidth="1"/>
    <col min="2284" max="2293" width="55.7109375" style="225"/>
    <col min="2294" max="2294" width="9.140625" style="225" customWidth="1"/>
    <col min="2295" max="2295" width="73.42578125" style="225" customWidth="1"/>
    <col min="2296" max="2296" width="18.140625" style="225" customWidth="1"/>
    <col min="2297" max="2297" width="19.140625" style="225" customWidth="1"/>
    <col min="2298" max="2298" width="20" style="225" customWidth="1"/>
    <col min="2299" max="2299" width="15" style="225" customWidth="1"/>
    <col min="2300" max="2300" width="12.7109375" style="225" customWidth="1"/>
    <col min="2301" max="2301" width="64.42578125" style="225" customWidth="1"/>
    <col min="2302" max="2302" width="47" style="225" customWidth="1"/>
    <col min="2303" max="2538" width="9.140625" style="225" customWidth="1"/>
    <col min="2539" max="2539" width="3.7109375" style="225" customWidth="1"/>
    <col min="2540" max="2549" width="55.7109375" style="225"/>
    <col min="2550" max="2550" width="9.140625" style="225" customWidth="1"/>
    <col min="2551" max="2551" width="73.42578125" style="225" customWidth="1"/>
    <col min="2552" max="2552" width="18.140625" style="225" customWidth="1"/>
    <col min="2553" max="2553" width="19.140625" style="225" customWidth="1"/>
    <col min="2554" max="2554" width="20" style="225" customWidth="1"/>
    <col min="2555" max="2555" width="15" style="225" customWidth="1"/>
    <col min="2556" max="2556" width="12.7109375" style="225" customWidth="1"/>
    <col min="2557" max="2557" width="64.42578125" style="225" customWidth="1"/>
    <col min="2558" max="2558" width="47" style="225" customWidth="1"/>
    <col min="2559" max="2794" width="9.140625" style="225" customWidth="1"/>
    <col min="2795" max="2795" width="3.7109375" style="225" customWidth="1"/>
    <col min="2796" max="2805" width="55.7109375" style="225"/>
    <col min="2806" max="2806" width="9.140625" style="225" customWidth="1"/>
    <col min="2807" max="2807" width="73.42578125" style="225" customWidth="1"/>
    <col min="2808" max="2808" width="18.140625" style="225" customWidth="1"/>
    <col min="2809" max="2809" width="19.140625" style="225" customWidth="1"/>
    <col min="2810" max="2810" width="20" style="225" customWidth="1"/>
    <col min="2811" max="2811" width="15" style="225" customWidth="1"/>
    <col min="2812" max="2812" width="12.7109375" style="225" customWidth="1"/>
    <col min="2813" max="2813" width="64.42578125" style="225" customWidth="1"/>
    <col min="2814" max="2814" width="47" style="225" customWidth="1"/>
    <col min="2815" max="3050" width="9.140625" style="225" customWidth="1"/>
    <col min="3051" max="3051" width="3.7109375" style="225" customWidth="1"/>
    <col min="3052" max="3061" width="55.7109375" style="225"/>
    <col min="3062" max="3062" width="9.140625" style="225" customWidth="1"/>
    <col min="3063" max="3063" width="73.42578125" style="225" customWidth="1"/>
    <col min="3064" max="3064" width="18.140625" style="225" customWidth="1"/>
    <col min="3065" max="3065" width="19.140625" style="225" customWidth="1"/>
    <col min="3066" max="3066" width="20" style="225" customWidth="1"/>
    <col min="3067" max="3067" width="15" style="225" customWidth="1"/>
    <col min="3068" max="3068" width="12.7109375" style="225" customWidth="1"/>
    <col min="3069" max="3069" width="64.42578125" style="225" customWidth="1"/>
    <col min="3070" max="3070" width="47" style="225" customWidth="1"/>
    <col min="3071" max="3306" width="9.140625" style="225" customWidth="1"/>
    <col min="3307" max="3307" width="3.7109375" style="225" customWidth="1"/>
    <col min="3308" max="3317" width="55.7109375" style="225"/>
    <col min="3318" max="3318" width="9.140625" style="225" customWidth="1"/>
    <col min="3319" max="3319" width="73.42578125" style="225" customWidth="1"/>
    <col min="3320" max="3320" width="18.140625" style="225" customWidth="1"/>
    <col min="3321" max="3321" width="19.140625" style="225" customWidth="1"/>
    <col min="3322" max="3322" width="20" style="225" customWidth="1"/>
    <col min="3323" max="3323" width="15" style="225" customWidth="1"/>
    <col min="3324" max="3324" width="12.7109375" style="225" customWidth="1"/>
    <col min="3325" max="3325" width="64.42578125" style="225" customWidth="1"/>
    <col min="3326" max="3326" width="47" style="225" customWidth="1"/>
    <col min="3327" max="3562" width="9.140625" style="225" customWidth="1"/>
    <col min="3563" max="3563" width="3.7109375" style="225" customWidth="1"/>
    <col min="3564" max="3573" width="55.7109375" style="225"/>
    <col min="3574" max="3574" width="9.140625" style="225" customWidth="1"/>
    <col min="3575" max="3575" width="73.42578125" style="225" customWidth="1"/>
    <col min="3576" max="3576" width="18.140625" style="225" customWidth="1"/>
    <col min="3577" max="3577" width="19.140625" style="225" customWidth="1"/>
    <col min="3578" max="3578" width="20" style="225" customWidth="1"/>
    <col min="3579" max="3579" width="15" style="225" customWidth="1"/>
    <col min="3580" max="3580" width="12.7109375" style="225" customWidth="1"/>
    <col min="3581" max="3581" width="64.42578125" style="225" customWidth="1"/>
    <col min="3582" max="3582" width="47" style="225" customWidth="1"/>
    <col min="3583" max="3818" width="9.140625" style="225" customWidth="1"/>
    <col min="3819" max="3819" width="3.7109375" style="225" customWidth="1"/>
    <col min="3820" max="3829" width="55.7109375" style="225"/>
    <col min="3830" max="3830" width="9.140625" style="225" customWidth="1"/>
    <col min="3831" max="3831" width="73.42578125" style="225" customWidth="1"/>
    <col min="3832" max="3832" width="18.140625" style="225" customWidth="1"/>
    <col min="3833" max="3833" width="19.140625" style="225" customWidth="1"/>
    <col min="3834" max="3834" width="20" style="225" customWidth="1"/>
    <col min="3835" max="3835" width="15" style="225" customWidth="1"/>
    <col min="3836" max="3836" width="12.7109375" style="225" customWidth="1"/>
    <col min="3837" max="3837" width="64.42578125" style="225" customWidth="1"/>
    <col min="3838" max="3838" width="47" style="225" customWidth="1"/>
    <col min="3839" max="4074" width="9.140625" style="225" customWidth="1"/>
    <col min="4075" max="4075" width="3.7109375" style="225" customWidth="1"/>
    <col min="4076" max="4085" width="55.7109375" style="225"/>
    <col min="4086" max="4086" width="9.140625" style="225" customWidth="1"/>
    <col min="4087" max="4087" width="73.42578125" style="225" customWidth="1"/>
    <col min="4088" max="4088" width="18.140625" style="225" customWidth="1"/>
    <col min="4089" max="4089" width="19.140625" style="225" customWidth="1"/>
    <col min="4090" max="4090" width="20" style="225" customWidth="1"/>
    <col min="4091" max="4091" width="15" style="225" customWidth="1"/>
    <col min="4092" max="4092" width="12.7109375" style="225" customWidth="1"/>
    <col min="4093" max="4093" width="64.42578125" style="225" customWidth="1"/>
    <col min="4094" max="4094" width="47" style="225" customWidth="1"/>
    <col min="4095" max="4330" width="9.140625" style="225" customWidth="1"/>
    <col min="4331" max="4331" width="3.7109375" style="225" customWidth="1"/>
    <col min="4332" max="4341" width="55.7109375" style="225"/>
    <col min="4342" max="4342" width="9.140625" style="225" customWidth="1"/>
    <col min="4343" max="4343" width="73.42578125" style="225" customWidth="1"/>
    <col min="4344" max="4344" width="18.140625" style="225" customWidth="1"/>
    <col min="4345" max="4345" width="19.140625" style="225" customWidth="1"/>
    <col min="4346" max="4346" width="20" style="225" customWidth="1"/>
    <col min="4347" max="4347" width="15" style="225" customWidth="1"/>
    <col min="4348" max="4348" width="12.7109375" style="225" customWidth="1"/>
    <col min="4349" max="4349" width="64.42578125" style="225" customWidth="1"/>
    <col min="4350" max="4350" width="47" style="225" customWidth="1"/>
    <col min="4351" max="4586" width="9.140625" style="225" customWidth="1"/>
    <col min="4587" max="4587" width="3.7109375" style="225" customWidth="1"/>
    <col min="4588" max="4597" width="55.7109375" style="225"/>
    <col min="4598" max="4598" width="9.140625" style="225" customWidth="1"/>
    <col min="4599" max="4599" width="73.42578125" style="225" customWidth="1"/>
    <col min="4600" max="4600" width="18.140625" style="225" customWidth="1"/>
    <col min="4601" max="4601" width="19.140625" style="225" customWidth="1"/>
    <col min="4602" max="4602" width="20" style="225" customWidth="1"/>
    <col min="4603" max="4603" width="15" style="225" customWidth="1"/>
    <col min="4604" max="4604" width="12.7109375" style="225" customWidth="1"/>
    <col min="4605" max="4605" width="64.42578125" style="225" customWidth="1"/>
    <col min="4606" max="4606" width="47" style="225" customWidth="1"/>
    <col min="4607" max="4842" width="9.140625" style="225" customWidth="1"/>
    <col min="4843" max="4843" width="3.7109375" style="225" customWidth="1"/>
    <col min="4844" max="4853" width="55.7109375" style="225"/>
    <col min="4854" max="4854" width="9.140625" style="225" customWidth="1"/>
    <col min="4855" max="4855" width="73.42578125" style="225" customWidth="1"/>
    <col min="4856" max="4856" width="18.140625" style="225" customWidth="1"/>
    <col min="4857" max="4857" width="19.140625" style="225" customWidth="1"/>
    <col min="4858" max="4858" width="20" style="225" customWidth="1"/>
    <col min="4859" max="4859" width="15" style="225" customWidth="1"/>
    <col min="4860" max="4860" width="12.7109375" style="225" customWidth="1"/>
    <col min="4861" max="4861" width="64.42578125" style="225" customWidth="1"/>
    <col min="4862" max="4862" width="47" style="225" customWidth="1"/>
    <col min="4863" max="5098" width="9.140625" style="225" customWidth="1"/>
    <col min="5099" max="5099" width="3.7109375" style="225" customWidth="1"/>
    <col min="5100" max="5109" width="55.7109375" style="225"/>
    <col min="5110" max="5110" width="9.140625" style="225" customWidth="1"/>
    <col min="5111" max="5111" width="73.42578125" style="225" customWidth="1"/>
    <col min="5112" max="5112" width="18.140625" style="225" customWidth="1"/>
    <col min="5113" max="5113" width="19.140625" style="225" customWidth="1"/>
    <col min="5114" max="5114" width="20" style="225" customWidth="1"/>
    <col min="5115" max="5115" width="15" style="225" customWidth="1"/>
    <col min="5116" max="5116" width="12.7109375" style="225" customWidth="1"/>
    <col min="5117" max="5117" width="64.42578125" style="225" customWidth="1"/>
    <col min="5118" max="5118" width="47" style="225" customWidth="1"/>
    <col min="5119" max="5354" width="9.140625" style="225" customWidth="1"/>
    <col min="5355" max="5355" width="3.7109375" style="225" customWidth="1"/>
    <col min="5356" max="5365" width="55.7109375" style="225"/>
    <col min="5366" max="5366" width="9.140625" style="225" customWidth="1"/>
    <col min="5367" max="5367" width="73.42578125" style="225" customWidth="1"/>
    <col min="5368" max="5368" width="18.140625" style="225" customWidth="1"/>
    <col min="5369" max="5369" width="19.140625" style="225" customWidth="1"/>
    <col min="5370" max="5370" width="20" style="225" customWidth="1"/>
    <col min="5371" max="5371" width="15" style="225" customWidth="1"/>
    <col min="5372" max="5372" width="12.7109375" style="225" customWidth="1"/>
    <col min="5373" max="5373" width="64.42578125" style="225" customWidth="1"/>
    <col min="5374" max="5374" width="47" style="225" customWidth="1"/>
    <col min="5375" max="5610" width="9.140625" style="225" customWidth="1"/>
    <col min="5611" max="5611" width="3.7109375" style="225" customWidth="1"/>
    <col min="5612" max="5621" width="55.7109375" style="225"/>
    <col min="5622" max="5622" width="9.140625" style="225" customWidth="1"/>
    <col min="5623" max="5623" width="73.42578125" style="225" customWidth="1"/>
    <col min="5624" max="5624" width="18.140625" style="225" customWidth="1"/>
    <col min="5625" max="5625" width="19.140625" style="225" customWidth="1"/>
    <col min="5626" max="5626" width="20" style="225" customWidth="1"/>
    <col min="5627" max="5627" width="15" style="225" customWidth="1"/>
    <col min="5628" max="5628" width="12.7109375" style="225" customWidth="1"/>
    <col min="5629" max="5629" width="64.42578125" style="225" customWidth="1"/>
    <col min="5630" max="5630" width="47" style="225" customWidth="1"/>
    <col min="5631" max="5866" width="9.140625" style="225" customWidth="1"/>
    <col min="5867" max="5867" width="3.7109375" style="225" customWidth="1"/>
    <col min="5868" max="5877" width="55.7109375" style="225"/>
    <col min="5878" max="5878" width="9.140625" style="225" customWidth="1"/>
    <col min="5879" max="5879" width="73.42578125" style="225" customWidth="1"/>
    <col min="5880" max="5880" width="18.140625" style="225" customWidth="1"/>
    <col min="5881" max="5881" width="19.140625" style="225" customWidth="1"/>
    <col min="5882" max="5882" width="20" style="225" customWidth="1"/>
    <col min="5883" max="5883" width="15" style="225" customWidth="1"/>
    <col min="5884" max="5884" width="12.7109375" style="225" customWidth="1"/>
    <col min="5885" max="5885" width="64.42578125" style="225" customWidth="1"/>
    <col min="5886" max="5886" width="47" style="225" customWidth="1"/>
    <col min="5887" max="6122" width="9.140625" style="225" customWidth="1"/>
    <col min="6123" max="6123" width="3.7109375" style="225" customWidth="1"/>
    <col min="6124" max="6133" width="55.7109375" style="225"/>
    <col min="6134" max="6134" width="9.140625" style="225" customWidth="1"/>
    <col min="6135" max="6135" width="73.42578125" style="225" customWidth="1"/>
    <col min="6136" max="6136" width="18.140625" style="225" customWidth="1"/>
    <col min="6137" max="6137" width="19.140625" style="225" customWidth="1"/>
    <col min="6138" max="6138" width="20" style="225" customWidth="1"/>
    <col min="6139" max="6139" width="15" style="225" customWidth="1"/>
    <col min="6140" max="6140" width="12.7109375" style="225" customWidth="1"/>
    <col min="6141" max="6141" width="64.42578125" style="225" customWidth="1"/>
    <col min="6142" max="6142" width="47" style="225" customWidth="1"/>
    <col min="6143" max="6378" width="9.140625" style="225" customWidth="1"/>
    <col min="6379" max="6379" width="3.7109375" style="225" customWidth="1"/>
    <col min="6380" max="6389" width="55.7109375" style="225"/>
    <col min="6390" max="6390" width="9.140625" style="225" customWidth="1"/>
    <col min="6391" max="6391" width="73.42578125" style="225" customWidth="1"/>
    <col min="6392" max="6392" width="18.140625" style="225" customWidth="1"/>
    <col min="6393" max="6393" width="19.140625" style="225" customWidth="1"/>
    <col min="6394" max="6394" width="20" style="225" customWidth="1"/>
    <col min="6395" max="6395" width="15" style="225" customWidth="1"/>
    <col min="6396" max="6396" width="12.7109375" style="225" customWidth="1"/>
    <col min="6397" max="6397" width="64.42578125" style="225" customWidth="1"/>
    <col min="6398" max="6398" width="47" style="225" customWidth="1"/>
    <col min="6399" max="6634" width="9.140625" style="225" customWidth="1"/>
    <col min="6635" max="6635" width="3.7109375" style="225" customWidth="1"/>
    <col min="6636" max="6645" width="55.7109375" style="225"/>
    <col min="6646" max="6646" width="9.140625" style="225" customWidth="1"/>
    <col min="6647" max="6647" width="73.42578125" style="225" customWidth="1"/>
    <col min="6648" max="6648" width="18.140625" style="225" customWidth="1"/>
    <col min="6649" max="6649" width="19.140625" style="225" customWidth="1"/>
    <col min="6650" max="6650" width="20" style="225" customWidth="1"/>
    <col min="6651" max="6651" width="15" style="225" customWidth="1"/>
    <col min="6652" max="6652" width="12.7109375" style="225" customWidth="1"/>
    <col min="6653" max="6653" width="64.42578125" style="225" customWidth="1"/>
    <col min="6654" max="6654" width="47" style="225" customWidth="1"/>
    <col min="6655" max="6890" width="9.140625" style="225" customWidth="1"/>
    <col min="6891" max="6891" width="3.7109375" style="225" customWidth="1"/>
    <col min="6892" max="6901" width="55.7109375" style="225"/>
    <col min="6902" max="6902" width="9.140625" style="225" customWidth="1"/>
    <col min="6903" max="6903" width="73.42578125" style="225" customWidth="1"/>
    <col min="6904" max="6904" width="18.140625" style="225" customWidth="1"/>
    <col min="6905" max="6905" width="19.140625" style="225" customWidth="1"/>
    <col min="6906" max="6906" width="20" style="225" customWidth="1"/>
    <col min="6907" max="6907" width="15" style="225" customWidth="1"/>
    <col min="6908" max="6908" width="12.7109375" style="225" customWidth="1"/>
    <col min="6909" max="6909" width="64.42578125" style="225" customWidth="1"/>
    <col min="6910" max="6910" width="47" style="225" customWidth="1"/>
    <col min="6911" max="7146" width="9.140625" style="225" customWidth="1"/>
    <col min="7147" max="7147" width="3.7109375" style="225" customWidth="1"/>
    <col min="7148" max="7157" width="55.7109375" style="225"/>
    <col min="7158" max="7158" width="9.140625" style="225" customWidth="1"/>
    <col min="7159" max="7159" width="73.42578125" style="225" customWidth="1"/>
    <col min="7160" max="7160" width="18.140625" style="225" customWidth="1"/>
    <col min="7161" max="7161" width="19.140625" style="225" customWidth="1"/>
    <col min="7162" max="7162" width="20" style="225" customWidth="1"/>
    <col min="7163" max="7163" width="15" style="225" customWidth="1"/>
    <col min="7164" max="7164" width="12.7109375" style="225" customWidth="1"/>
    <col min="7165" max="7165" width="64.42578125" style="225" customWidth="1"/>
    <col min="7166" max="7166" width="47" style="225" customWidth="1"/>
    <col min="7167" max="7402" width="9.140625" style="225" customWidth="1"/>
    <col min="7403" max="7403" width="3.7109375" style="225" customWidth="1"/>
    <col min="7404" max="7413" width="55.7109375" style="225"/>
    <col min="7414" max="7414" width="9.140625" style="225" customWidth="1"/>
    <col min="7415" max="7415" width="73.42578125" style="225" customWidth="1"/>
    <col min="7416" max="7416" width="18.140625" style="225" customWidth="1"/>
    <col min="7417" max="7417" width="19.140625" style="225" customWidth="1"/>
    <col min="7418" max="7418" width="20" style="225" customWidth="1"/>
    <col min="7419" max="7419" width="15" style="225" customWidth="1"/>
    <col min="7420" max="7420" width="12.7109375" style="225" customWidth="1"/>
    <col min="7421" max="7421" width="64.42578125" style="225" customWidth="1"/>
    <col min="7422" max="7422" width="47" style="225" customWidth="1"/>
    <col min="7423" max="7658" width="9.140625" style="225" customWidth="1"/>
    <col min="7659" max="7659" width="3.7109375" style="225" customWidth="1"/>
    <col min="7660" max="7669" width="55.7109375" style="225"/>
    <col min="7670" max="7670" width="9.140625" style="225" customWidth="1"/>
    <col min="7671" max="7671" width="73.42578125" style="225" customWidth="1"/>
    <col min="7672" max="7672" width="18.140625" style="225" customWidth="1"/>
    <col min="7673" max="7673" width="19.140625" style="225" customWidth="1"/>
    <col min="7674" max="7674" width="20" style="225" customWidth="1"/>
    <col min="7675" max="7675" width="15" style="225" customWidth="1"/>
    <col min="7676" max="7676" width="12.7109375" style="225" customWidth="1"/>
    <col min="7677" max="7677" width="64.42578125" style="225" customWidth="1"/>
    <col min="7678" max="7678" width="47" style="225" customWidth="1"/>
    <col min="7679" max="7914" width="9.140625" style="225" customWidth="1"/>
    <col min="7915" max="7915" width="3.7109375" style="225" customWidth="1"/>
    <col min="7916" max="7925" width="55.7109375" style="225"/>
    <col min="7926" max="7926" width="9.140625" style="225" customWidth="1"/>
    <col min="7927" max="7927" width="73.42578125" style="225" customWidth="1"/>
    <col min="7928" max="7928" width="18.140625" style="225" customWidth="1"/>
    <col min="7929" max="7929" width="19.140625" style="225" customWidth="1"/>
    <col min="7930" max="7930" width="20" style="225" customWidth="1"/>
    <col min="7931" max="7931" width="15" style="225" customWidth="1"/>
    <col min="7932" max="7932" width="12.7109375" style="225" customWidth="1"/>
    <col min="7933" max="7933" width="64.42578125" style="225" customWidth="1"/>
    <col min="7934" max="7934" width="47" style="225" customWidth="1"/>
    <col min="7935" max="8170" width="9.140625" style="225" customWidth="1"/>
    <col min="8171" max="8171" width="3.7109375" style="225" customWidth="1"/>
    <col min="8172" max="8181" width="55.7109375" style="225"/>
    <col min="8182" max="8182" width="9.140625" style="225" customWidth="1"/>
    <col min="8183" max="8183" width="73.42578125" style="225" customWidth="1"/>
    <col min="8184" max="8184" width="18.140625" style="225" customWidth="1"/>
    <col min="8185" max="8185" width="19.140625" style="225" customWidth="1"/>
    <col min="8186" max="8186" width="20" style="225" customWidth="1"/>
    <col min="8187" max="8187" width="15" style="225" customWidth="1"/>
    <col min="8188" max="8188" width="12.7109375" style="225" customWidth="1"/>
    <col min="8189" max="8189" width="64.42578125" style="225" customWidth="1"/>
    <col min="8190" max="8190" width="47" style="225" customWidth="1"/>
    <col min="8191" max="8426" width="9.140625" style="225" customWidth="1"/>
    <col min="8427" max="8427" width="3.7109375" style="225" customWidth="1"/>
    <col min="8428" max="8437" width="55.7109375" style="225"/>
    <col min="8438" max="8438" width="9.140625" style="225" customWidth="1"/>
    <col min="8439" max="8439" width="73.42578125" style="225" customWidth="1"/>
    <col min="8440" max="8440" width="18.140625" style="225" customWidth="1"/>
    <col min="8441" max="8441" width="19.140625" style="225" customWidth="1"/>
    <col min="8442" max="8442" width="20" style="225" customWidth="1"/>
    <col min="8443" max="8443" width="15" style="225" customWidth="1"/>
    <col min="8444" max="8444" width="12.7109375" style="225" customWidth="1"/>
    <col min="8445" max="8445" width="64.42578125" style="225" customWidth="1"/>
    <col min="8446" max="8446" width="47" style="225" customWidth="1"/>
    <col min="8447" max="8682" width="9.140625" style="225" customWidth="1"/>
    <col min="8683" max="8683" width="3.7109375" style="225" customWidth="1"/>
    <col min="8684" max="8693" width="55.7109375" style="225"/>
    <col min="8694" max="8694" width="9.140625" style="225" customWidth="1"/>
    <col min="8695" max="8695" width="73.42578125" style="225" customWidth="1"/>
    <col min="8696" max="8696" width="18.140625" style="225" customWidth="1"/>
    <col min="8697" max="8697" width="19.140625" style="225" customWidth="1"/>
    <col min="8698" max="8698" width="20" style="225" customWidth="1"/>
    <col min="8699" max="8699" width="15" style="225" customWidth="1"/>
    <col min="8700" max="8700" width="12.7109375" style="225" customWidth="1"/>
    <col min="8701" max="8701" width="64.42578125" style="225" customWidth="1"/>
    <col min="8702" max="8702" width="47" style="225" customWidth="1"/>
    <col min="8703" max="8938" width="9.140625" style="225" customWidth="1"/>
    <col min="8939" max="8939" width="3.7109375" style="225" customWidth="1"/>
    <col min="8940" max="8949" width="55.7109375" style="225"/>
    <col min="8950" max="8950" width="9.140625" style="225" customWidth="1"/>
    <col min="8951" max="8951" width="73.42578125" style="225" customWidth="1"/>
    <col min="8952" max="8952" width="18.140625" style="225" customWidth="1"/>
    <col min="8953" max="8953" width="19.140625" style="225" customWidth="1"/>
    <col min="8954" max="8954" width="20" style="225" customWidth="1"/>
    <col min="8955" max="8955" width="15" style="225" customWidth="1"/>
    <col min="8956" max="8956" width="12.7109375" style="225" customWidth="1"/>
    <col min="8957" max="8957" width="64.42578125" style="225" customWidth="1"/>
    <col min="8958" max="8958" width="47" style="225" customWidth="1"/>
    <col min="8959" max="9194" width="9.140625" style="225" customWidth="1"/>
    <col min="9195" max="9195" width="3.7109375" style="225" customWidth="1"/>
    <col min="9196" max="9205" width="55.7109375" style="225"/>
    <col min="9206" max="9206" width="9.140625" style="225" customWidth="1"/>
    <col min="9207" max="9207" width="73.42578125" style="225" customWidth="1"/>
    <col min="9208" max="9208" width="18.140625" style="225" customWidth="1"/>
    <col min="9209" max="9209" width="19.140625" style="225" customWidth="1"/>
    <col min="9210" max="9210" width="20" style="225" customWidth="1"/>
    <col min="9211" max="9211" width="15" style="225" customWidth="1"/>
    <col min="9212" max="9212" width="12.7109375" style="225" customWidth="1"/>
    <col min="9213" max="9213" width="64.42578125" style="225" customWidth="1"/>
    <col min="9214" max="9214" width="47" style="225" customWidth="1"/>
    <col min="9215" max="9450" width="9.140625" style="225" customWidth="1"/>
    <col min="9451" max="9451" width="3.7109375" style="225" customWidth="1"/>
    <col min="9452" max="9461" width="55.7109375" style="225"/>
    <col min="9462" max="9462" width="9.140625" style="225" customWidth="1"/>
    <col min="9463" max="9463" width="73.42578125" style="225" customWidth="1"/>
    <col min="9464" max="9464" width="18.140625" style="225" customWidth="1"/>
    <col min="9465" max="9465" width="19.140625" style="225" customWidth="1"/>
    <col min="9466" max="9466" width="20" style="225" customWidth="1"/>
    <col min="9467" max="9467" width="15" style="225" customWidth="1"/>
    <col min="9468" max="9468" width="12.7109375" style="225" customWidth="1"/>
    <col min="9469" max="9469" width="64.42578125" style="225" customWidth="1"/>
    <col min="9470" max="9470" width="47" style="225" customWidth="1"/>
    <col min="9471" max="9706" width="9.140625" style="225" customWidth="1"/>
    <col min="9707" max="9707" width="3.7109375" style="225" customWidth="1"/>
    <col min="9708" max="9717" width="55.7109375" style="225"/>
    <col min="9718" max="9718" width="9.140625" style="225" customWidth="1"/>
    <col min="9719" max="9719" width="73.42578125" style="225" customWidth="1"/>
    <col min="9720" max="9720" width="18.140625" style="225" customWidth="1"/>
    <col min="9721" max="9721" width="19.140625" style="225" customWidth="1"/>
    <col min="9722" max="9722" width="20" style="225" customWidth="1"/>
    <col min="9723" max="9723" width="15" style="225" customWidth="1"/>
    <col min="9724" max="9724" width="12.7109375" style="225" customWidth="1"/>
    <col min="9725" max="9725" width="64.42578125" style="225" customWidth="1"/>
    <col min="9726" max="9726" width="47" style="225" customWidth="1"/>
    <col min="9727" max="9962" width="9.140625" style="225" customWidth="1"/>
    <col min="9963" max="9963" width="3.7109375" style="225" customWidth="1"/>
    <col min="9964" max="9973" width="55.7109375" style="225"/>
    <col min="9974" max="9974" width="9.140625" style="225" customWidth="1"/>
    <col min="9975" max="9975" width="73.42578125" style="225" customWidth="1"/>
    <col min="9976" max="9976" width="18.140625" style="225" customWidth="1"/>
    <col min="9977" max="9977" width="19.140625" style="225" customWidth="1"/>
    <col min="9978" max="9978" width="20" style="225" customWidth="1"/>
    <col min="9979" max="9979" width="15" style="225" customWidth="1"/>
    <col min="9980" max="9980" width="12.7109375" style="225" customWidth="1"/>
    <col min="9981" max="9981" width="64.42578125" style="225" customWidth="1"/>
    <col min="9982" max="9982" width="47" style="225" customWidth="1"/>
    <col min="9983" max="10218" width="9.140625" style="225" customWidth="1"/>
    <col min="10219" max="10219" width="3.7109375" style="225" customWidth="1"/>
    <col min="10220" max="10229" width="55.7109375" style="225"/>
    <col min="10230" max="10230" width="9.140625" style="225" customWidth="1"/>
    <col min="10231" max="10231" width="73.42578125" style="225" customWidth="1"/>
    <col min="10232" max="10232" width="18.140625" style="225" customWidth="1"/>
    <col min="10233" max="10233" width="19.140625" style="225" customWidth="1"/>
    <col min="10234" max="10234" width="20" style="225" customWidth="1"/>
    <col min="10235" max="10235" width="15" style="225" customWidth="1"/>
    <col min="10236" max="10236" width="12.7109375" style="225" customWidth="1"/>
    <col min="10237" max="10237" width="64.42578125" style="225" customWidth="1"/>
    <col min="10238" max="10238" width="47" style="225" customWidth="1"/>
    <col min="10239" max="10474" width="9.140625" style="225" customWidth="1"/>
    <col min="10475" max="10475" width="3.7109375" style="225" customWidth="1"/>
    <col min="10476" max="10485" width="55.7109375" style="225"/>
    <col min="10486" max="10486" width="9.140625" style="225" customWidth="1"/>
    <col min="10487" max="10487" width="73.42578125" style="225" customWidth="1"/>
    <col min="10488" max="10488" width="18.140625" style="225" customWidth="1"/>
    <col min="10489" max="10489" width="19.140625" style="225" customWidth="1"/>
    <col min="10490" max="10490" width="20" style="225" customWidth="1"/>
    <col min="10491" max="10491" width="15" style="225" customWidth="1"/>
    <col min="10492" max="10492" width="12.7109375" style="225" customWidth="1"/>
    <col min="10493" max="10493" width="64.42578125" style="225" customWidth="1"/>
    <col min="10494" max="10494" width="47" style="225" customWidth="1"/>
    <col min="10495" max="10730" width="9.140625" style="225" customWidth="1"/>
    <col min="10731" max="10731" width="3.7109375" style="225" customWidth="1"/>
    <col min="10732" max="10741" width="55.7109375" style="225"/>
    <col min="10742" max="10742" width="9.140625" style="225" customWidth="1"/>
    <col min="10743" max="10743" width="73.42578125" style="225" customWidth="1"/>
    <col min="10744" max="10744" width="18.140625" style="225" customWidth="1"/>
    <col min="10745" max="10745" width="19.140625" style="225" customWidth="1"/>
    <col min="10746" max="10746" width="20" style="225" customWidth="1"/>
    <col min="10747" max="10747" width="15" style="225" customWidth="1"/>
    <col min="10748" max="10748" width="12.7109375" style="225" customWidth="1"/>
    <col min="10749" max="10749" width="64.42578125" style="225" customWidth="1"/>
    <col min="10750" max="10750" width="47" style="225" customWidth="1"/>
    <col min="10751" max="10986" width="9.140625" style="225" customWidth="1"/>
    <col min="10987" max="10987" width="3.7109375" style="225" customWidth="1"/>
    <col min="10988" max="10997" width="55.7109375" style="225"/>
    <col min="10998" max="10998" width="9.140625" style="225" customWidth="1"/>
    <col min="10999" max="10999" width="73.42578125" style="225" customWidth="1"/>
    <col min="11000" max="11000" width="18.140625" style="225" customWidth="1"/>
    <col min="11001" max="11001" width="19.140625" style="225" customWidth="1"/>
    <col min="11002" max="11002" width="20" style="225" customWidth="1"/>
    <col min="11003" max="11003" width="15" style="225" customWidth="1"/>
    <col min="11004" max="11004" width="12.7109375" style="225" customWidth="1"/>
    <col min="11005" max="11005" width="64.42578125" style="225" customWidth="1"/>
    <col min="11006" max="11006" width="47" style="225" customWidth="1"/>
    <col min="11007" max="11242" width="9.140625" style="225" customWidth="1"/>
    <col min="11243" max="11243" width="3.7109375" style="225" customWidth="1"/>
    <col min="11244" max="11253" width="55.7109375" style="225"/>
    <col min="11254" max="11254" width="9.140625" style="225" customWidth="1"/>
    <col min="11255" max="11255" width="73.42578125" style="225" customWidth="1"/>
    <col min="11256" max="11256" width="18.140625" style="225" customWidth="1"/>
    <col min="11257" max="11257" width="19.140625" style="225" customWidth="1"/>
    <col min="11258" max="11258" width="20" style="225" customWidth="1"/>
    <col min="11259" max="11259" width="15" style="225" customWidth="1"/>
    <col min="11260" max="11260" width="12.7109375" style="225" customWidth="1"/>
    <col min="11261" max="11261" width="64.42578125" style="225" customWidth="1"/>
    <col min="11262" max="11262" width="47" style="225" customWidth="1"/>
    <col min="11263" max="11498" width="9.140625" style="225" customWidth="1"/>
    <col min="11499" max="11499" width="3.7109375" style="225" customWidth="1"/>
    <col min="11500" max="11509" width="55.7109375" style="225"/>
    <col min="11510" max="11510" width="9.140625" style="225" customWidth="1"/>
    <col min="11511" max="11511" width="73.42578125" style="225" customWidth="1"/>
    <col min="11512" max="11512" width="18.140625" style="225" customWidth="1"/>
    <col min="11513" max="11513" width="19.140625" style="225" customWidth="1"/>
    <col min="11514" max="11514" width="20" style="225" customWidth="1"/>
    <col min="11515" max="11515" width="15" style="225" customWidth="1"/>
    <col min="11516" max="11516" width="12.7109375" style="225" customWidth="1"/>
    <col min="11517" max="11517" width="64.42578125" style="225" customWidth="1"/>
    <col min="11518" max="11518" width="47" style="225" customWidth="1"/>
    <col min="11519" max="11754" width="9.140625" style="225" customWidth="1"/>
    <col min="11755" max="11755" width="3.7109375" style="225" customWidth="1"/>
    <col min="11756" max="11765" width="55.7109375" style="225"/>
    <col min="11766" max="11766" width="9.140625" style="225" customWidth="1"/>
    <col min="11767" max="11767" width="73.42578125" style="225" customWidth="1"/>
    <col min="11768" max="11768" width="18.140625" style="225" customWidth="1"/>
    <col min="11769" max="11769" width="19.140625" style="225" customWidth="1"/>
    <col min="11770" max="11770" width="20" style="225" customWidth="1"/>
    <col min="11771" max="11771" width="15" style="225" customWidth="1"/>
    <col min="11772" max="11772" width="12.7109375" style="225" customWidth="1"/>
    <col min="11773" max="11773" width="64.42578125" style="225" customWidth="1"/>
    <col min="11774" max="11774" width="47" style="225" customWidth="1"/>
    <col min="11775" max="12010" width="9.140625" style="225" customWidth="1"/>
    <col min="12011" max="12011" width="3.7109375" style="225" customWidth="1"/>
    <col min="12012" max="12021" width="55.7109375" style="225"/>
    <col min="12022" max="12022" width="9.140625" style="225" customWidth="1"/>
    <col min="12023" max="12023" width="73.42578125" style="225" customWidth="1"/>
    <col min="12024" max="12024" width="18.140625" style="225" customWidth="1"/>
    <col min="12025" max="12025" width="19.140625" style="225" customWidth="1"/>
    <col min="12026" max="12026" width="20" style="225" customWidth="1"/>
    <col min="12027" max="12027" width="15" style="225" customWidth="1"/>
    <col min="12028" max="12028" width="12.7109375" style="225" customWidth="1"/>
    <col min="12029" max="12029" width="64.42578125" style="225" customWidth="1"/>
    <col min="12030" max="12030" width="47" style="225" customWidth="1"/>
    <col min="12031" max="12266" width="9.140625" style="225" customWidth="1"/>
    <col min="12267" max="12267" width="3.7109375" style="225" customWidth="1"/>
    <col min="12268" max="12277" width="55.7109375" style="225"/>
    <col min="12278" max="12278" width="9.140625" style="225" customWidth="1"/>
    <col min="12279" max="12279" width="73.42578125" style="225" customWidth="1"/>
    <col min="12280" max="12280" width="18.140625" style="225" customWidth="1"/>
    <col min="12281" max="12281" width="19.140625" style="225" customWidth="1"/>
    <col min="12282" max="12282" width="20" style="225" customWidth="1"/>
    <col min="12283" max="12283" width="15" style="225" customWidth="1"/>
    <col min="12284" max="12284" width="12.7109375" style="225" customWidth="1"/>
    <col min="12285" max="12285" width="64.42578125" style="225" customWidth="1"/>
    <col min="12286" max="12286" width="47" style="225" customWidth="1"/>
    <col min="12287" max="12522" width="9.140625" style="225" customWidth="1"/>
    <col min="12523" max="12523" width="3.7109375" style="225" customWidth="1"/>
    <col min="12524" max="12533" width="55.7109375" style="225"/>
    <col min="12534" max="12534" width="9.140625" style="225" customWidth="1"/>
    <col min="12535" max="12535" width="73.42578125" style="225" customWidth="1"/>
    <col min="12536" max="12536" width="18.140625" style="225" customWidth="1"/>
    <col min="12537" max="12537" width="19.140625" style="225" customWidth="1"/>
    <col min="12538" max="12538" width="20" style="225" customWidth="1"/>
    <col min="12539" max="12539" width="15" style="225" customWidth="1"/>
    <col min="12540" max="12540" width="12.7109375" style="225" customWidth="1"/>
    <col min="12541" max="12541" width="64.42578125" style="225" customWidth="1"/>
    <col min="12542" max="12542" width="47" style="225" customWidth="1"/>
    <col min="12543" max="12778" width="9.140625" style="225" customWidth="1"/>
    <col min="12779" max="12779" width="3.7109375" style="225" customWidth="1"/>
    <col min="12780" max="12789" width="55.7109375" style="225"/>
    <col min="12790" max="12790" width="9.140625" style="225" customWidth="1"/>
    <col min="12791" max="12791" width="73.42578125" style="225" customWidth="1"/>
    <col min="12792" max="12792" width="18.140625" style="225" customWidth="1"/>
    <col min="12793" max="12793" width="19.140625" style="225" customWidth="1"/>
    <col min="12794" max="12794" width="20" style="225" customWidth="1"/>
    <col min="12795" max="12795" width="15" style="225" customWidth="1"/>
    <col min="12796" max="12796" width="12.7109375" style="225" customWidth="1"/>
    <col min="12797" max="12797" width="64.42578125" style="225" customWidth="1"/>
    <col min="12798" max="12798" width="47" style="225" customWidth="1"/>
    <col min="12799" max="13034" width="9.140625" style="225" customWidth="1"/>
    <col min="13035" max="13035" width="3.7109375" style="225" customWidth="1"/>
    <col min="13036" max="13045" width="55.7109375" style="225"/>
    <col min="13046" max="13046" width="9.140625" style="225" customWidth="1"/>
    <col min="13047" max="13047" width="73.42578125" style="225" customWidth="1"/>
    <col min="13048" max="13048" width="18.140625" style="225" customWidth="1"/>
    <col min="13049" max="13049" width="19.140625" style="225" customWidth="1"/>
    <col min="13050" max="13050" width="20" style="225" customWidth="1"/>
    <col min="13051" max="13051" width="15" style="225" customWidth="1"/>
    <col min="13052" max="13052" width="12.7109375" style="225" customWidth="1"/>
    <col min="13053" max="13053" width="64.42578125" style="225" customWidth="1"/>
    <col min="13054" max="13054" width="47" style="225" customWidth="1"/>
    <col min="13055" max="13290" width="9.140625" style="225" customWidth="1"/>
    <col min="13291" max="13291" width="3.7109375" style="225" customWidth="1"/>
    <col min="13292" max="13301" width="55.7109375" style="225"/>
    <col min="13302" max="13302" width="9.140625" style="225" customWidth="1"/>
    <col min="13303" max="13303" width="73.42578125" style="225" customWidth="1"/>
    <col min="13304" max="13304" width="18.140625" style="225" customWidth="1"/>
    <col min="13305" max="13305" width="19.140625" style="225" customWidth="1"/>
    <col min="13306" max="13306" width="20" style="225" customWidth="1"/>
    <col min="13307" max="13307" width="15" style="225" customWidth="1"/>
    <col min="13308" max="13308" width="12.7109375" style="225" customWidth="1"/>
    <col min="13309" max="13309" width="64.42578125" style="225" customWidth="1"/>
    <col min="13310" max="13310" width="47" style="225" customWidth="1"/>
    <col min="13311" max="13546" width="9.140625" style="225" customWidth="1"/>
    <col min="13547" max="13547" width="3.7109375" style="225" customWidth="1"/>
    <col min="13548" max="13557" width="55.7109375" style="225"/>
    <col min="13558" max="13558" width="9.140625" style="225" customWidth="1"/>
    <col min="13559" max="13559" width="73.42578125" style="225" customWidth="1"/>
    <col min="13560" max="13560" width="18.140625" style="225" customWidth="1"/>
    <col min="13561" max="13561" width="19.140625" style="225" customWidth="1"/>
    <col min="13562" max="13562" width="20" style="225" customWidth="1"/>
    <col min="13563" max="13563" width="15" style="225" customWidth="1"/>
    <col min="13564" max="13564" width="12.7109375" style="225" customWidth="1"/>
    <col min="13565" max="13565" width="64.42578125" style="225" customWidth="1"/>
    <col min="13566" max="13566" width="47" style="225" customWidth="1"/>
    <col min="13567" max="13802" width="9.140625" style="225" customWidth="1"/>
    <col min="13803" max="13803" width="3.7109375" style="225" customWidth="1"/>
    <col min="13804" max="13813" width="55.7109375" style="225"/>
    <col min="13814" max="13814" width="9.140625" style="225" customWidth="1"/>
    <col min="13815" max="13815" width="73.42578125" style="225" customWidth="1"/>
    <col min="13816" max="13816" width="18.140625" style="225" customWidth="1"/>
    <col min="13817" max="13817" width="19.140625" style="225" customWidth="1"/>
    <col min="13818" max="13818" width="20" style="225" customWidth="1"/>
    <col min="13819" max="13819" width="15" style="225" customWidth="1"/>
    <col min="13820" max="13820" width="12.7109375" style="225" customWidth="1"/>
    <col min="13821" max="13821" width="64.42578125" style="225" customWidth="1"/>
    <col min="13822" max="13822" width="47" style="225" customWidth="1"/>
    <col min="13823" max="14058" width="9.140625" style="225" customWidth="1"/>
    <col min="14059" max="14059" width="3.7109375" style="225" customWidth="1"/>
    <col min="14060" max="14069" width="55.7109375" style="225"/>
    <col min="14070" max="14070" width="9.140625" style="225" customWidth="1"/>
    <col min="14071" max="14071" width="73.42578125" style="225" customWidth="1"/>
    <col min="14072" max="14072" width="18.140625" style="225" customWidth="1"/>
    <col min="14073" max="14073" width="19.140625" style="225" customWidth="1"/>
    <col min="14074" max="14074" width="20" style="225" customWidth="1"/>
    <col min="14075" max="14075" width="15" style="225" customWidth="1"/>
    <col min="14076" max="14076" width="12.7109375" style="225" customWidth="1"/>
    <col min="14077" max="14077" width="64.42578125" style="225" customWidth="1"/>
    <col min="14078" max="14078" width="47" style="225" customWidth="1"/>
    <col min="14079" max="14314" width="9.140625" style="225" customWidth="1"/>
    <col min="14315" max="14315" width="3.7109375" style="225" customWidth="1"/>
    <col min="14316" max="14325" width="55.7109375" style="225"/>
    <col min="14326" max="14326" width="9.140625" style="225" customWidth="1"/>
    <col min="14327" max="14327" width="73.42578125" style="225" customWidth="1"/>
    <col min="14328" max="14328" width="18.140625" style="225" customWidth="1"/>
    <col min="14329" max="14329" width="19.140625" style="225" customWidth="1"/>
    <col min="14330" max="14330" width="20" style="225" customWidth="1"/>
    <col min="14331" max="14331" width="15" style="225" customWidth="1"/>
    <col min="14332" max="14332" width="12.7109375" style="225" customWidth="1"/>
    <col min="14333" max="14333" width="64.42578125" style="225" customWidth="1"/>
    <col min="14334" max="14334" width="47" style="225" customWidth="1"/>
    <col min="14335" max="14570" width="9.140625" style="225" customWidth="1"/>
    <col min="14571" max="14571" width="3.7109375" style="225" customWidth="1"/>
    <col min="14572" max="14581" width="55.7109375" style="225"/>
    <col min="14582" max="14582" width="9.140625" style="225" customWidth="1"/>
    <col min="14583" max="14583" width="73.42578125" style="225" customWidth="1"/>
    <col min="14584" max="14584" width="18.140625" style="225" customWidth="1"/>
    <col min="14585" max="14585" width="19.140625" style="225" customWidth="1"/>
    <col min="14586" max="14586" width="20" style="225" customWidth="1"/>
    <col min="14587" max="14587" width="15" style="225" customWidth="1"/>
    <col min="14588" max="14588" width="12.7109375" style="225" customWidth="1"/>
    <col min="14589" max="14589" width="64.42578125" style="225" customWidth="1"/>
    <col min="14590" max="14590" width="47" style="225" customWidth="1"/>
    <col min="14591" max="14826" width="9.140625" style="225" customWidth="1"/>
    <col min="14827" max="14827" width="3.7109375" style="225" customWidth="1"/>
    <col min="14828" max="14837" width="55.7109375" style="225"/>
    <col min="14838" max="14838" width="9.140625" style="225" customWidth="1"/>
    <col min="14839" max="14839" width="73.42578125" style="225" customWidth="1"/>
    <col min="14840" max="14840" width="18.140625" style="225" customWidth="1"/>
    <col min="14841" max="14841" width="19.140625" style="225" customWidth="1"/>
    <col min="14842" max="14842" width="20" style="225" customWidth="1"/>
    <col min="14843" max="14843" width="15" style="225" customWidth="1"/>
    <col min="14844" max="14844" width="12.7109375" style="225" customWidth="1"/>
    <col min="14845" max="14845" width="64.42578125" style="225" customWidth="1"/>
    <col min="14846" max="14846" width="47" style="225" customWidth="1"/>
    <col min="14847" max="15082" width="9.140625" style="225" customWidth="1"/>
    <col min="15083" max="15083" width="3.7109375" style="225" customWidth="1"/>
    <col min="15084" max="15093" width="55.7109375" style="225"/>
    <col min="15094" max="15094" width="9.140625" style="225" customWidth="1"/>
    <col min="15095" max="15095" width="73.42578125" style="225" customWidth="1"/>
    <col min="15096" max="15096" width="18.140625" style="225" customWidth="1"/>
    <col min="15097" max="15097" width="19.140625" style="225" customWidth="1"/>
    <col min="15098" max="15098" width="20" style="225" customWidth="1"/>
    <col min="15099" max="15099" width="15" style="225" customWidth="1"/>
    <col min="15100" max="15100" width="12.7109375" style="225" customWidth="1"/>
    <col min="15101" max="15101" width="64.42578125" style="225" customWidth="1"/>
    <col min="15102" max="15102" width="47" style="225" customWidth="1"/>
    <col min="15103" max="15338" width="9.140625" style="225" customWidth="1"/>
    <col min="15339" max="15339" width="3.7109375" style="225" customWidth="1"/>
    <col min="15340" max="15349" width="55.7109375" style="225"/>
    <col min="15350" max="15350" width="9.140625" style="225" customWidth="1"/>
    <col min="15351" max="15351" width="73.42578125" style="225" customWidth="1"/>
    <col min="15352" max="15352" width="18.140625" style="225" customWidth="1"/>
    <col min="15353" max="15353" width="19.140625" style="225" customWidth="1"/>
    <col min="15354" max="15354" width="20" style="225" customWidth="1"/>
    <col min="15355" max="15355" width="15" style="225" customWidth="1"/>
    <col min="15356" max="15356" width="12.7109375" style="225" customWidth="1"/>
    <col min="15357" max="15357" width="64.42578125" style="225" customWidth="1"/>
    <col min="15358" max="15358" width="47" style="225" customWidth="1"/>
    <col min="15359" max="15594" width="9.140625" style="225" customWidth="1"/>
    <col min="15595" max="15595" width="3.7109375" style="225" customWidth="1"/>
    <col min="15596" max="15605" width="55.7109375" style="225"/>
    <col min="15606" max="15606" width="9.140625" style="225" customWidth="1"/>
    <col min="15607" max="15607" width="73.42578125" style="225" customWidth="1"/>
    <col min="15608" max="15608" width="18.140625" style="225" customWidth="1"/>
    <col min="15609" max="15609" width="19.140625" style="225" customWidth="1"/>
    <col min="15610" max="15610" width="20" style="225" customWidth="1"/>
    <col min="15611" max="15611" width="15" style="225" customWidth="1"/>
    <col min="15612" max="15612" width="12.7109375" style="225" customWidth="1"/>
    <col min="15613" max="15613" width="64.42578125" style="225" customWidth="1"/>
    <col min="15614" max="15614" width="47" style="225" customWidth="1"/>
    <col min="15615" max="15850" width="9.140625" style="225" customWidth="1"/>
    <col min="15851" max="15851" width="3.7109375" style="225" customWidth="1"/>
    <col min="15852" max="15861" width="55.7109375" style="225"/>
    <col min="15862" max="15862" width="9.140625" style="225" customWidth="1"/>
    <col min="15863" max="15863" width="73.42578125" style="225" customWidth="1"/>
    <col min="15864" max="15864" width="18.140625" style="225" customWidth="1"/>
    <col min="15865" max="15865" width="19.140625" style="225" customWidth="1"/>
    <col min="15866" max="15866" width="20" style="225" customWidth="1"/>
    <col min="15867" max="15867" width="15" style="225" customWidth="1"/>
    <col min="15868" max="15868" width="12.7109375" style="225" customWidth="1"/>
    <col min="15869" max="15869" width="64.42578125" style="225" customWidth="1"/>
    <col min="15870" max="15870" width="47" style="225" customWidth="1"/>
    <col min="15871" max="16106" width="9.140625" style="225" customWidth="1"/>
    <col min="16107" max="16107" width="3.7109375" style="225" customWidth="1"/>
    <col min="16108" max="16117" width="55.7109375" style="225"/>
    <col min="16118" max="16118" width="9.140625" style="225" customWidth="1"/>
    <col min="16119" max="16119" width="73.42578125" style="225" customWidth="1"/>
    <col min="16120" max="16120" width="18.140625" style="225" customWidth="1"/>
    <col min="16121" max="16121" width="19.140625" style="225" customWidth="1"/>
    <col min="16122" max="16122" width="20" style="225" customWidth="1"/>
    <col min="16123" max="16123" width="15" style="225" customWidth="1"/>
    <col min="16124" max="16124" width="12.7109375" style="225" customWidth="1"/>
    <col min="16125" max="16125" width="64.42578125" style="225" customWidth="1"/>
    <col min="16126" max="16126" width="47" style="225" customWidth="1"/>
    <col min="16127" max="16362" width="9.140625" style="225" customWidth="1"/>
    <col min="16363" max="16363" width="3.7109375" style="225" customWidth="1"/>
    <col min="16364" max="16384" width="55.7109375" style="225"/>
  </cols>
  <sheetData>
    <row r="1" spans="1:5">
      <c r="A1" s="226"/>
      <c r="B1" s="544" t="s">
        <v>0</v>
      </c>
      <c r="C1" s="544"/>
      <c r="D1" s="544"/>
      <c r="E1" s="545"/>
    </row>
    <row r="2" spans="1:5">
      <c r="A2" s="227"/>
      <c r="B2" s="546" t="s">
        <v>1</v>
      </c>
      <c r="C2" s="546"/>
      <c r="D2" s="546"/>
      <c r="E2" s="228"/>
    </row>
    <row r="3" spans="1:5">
      <c r="A3" s="227"/>
      <c r="B3" s="546" t="s">
        <v>2</v>
      </c>
      <c r="C3" s="546"/>
      <c r="D3" s="546"/>
      <c r="E3" s="228"/>
    </row>
    <row r="4" spans="1:5">
      <c r="A4" s="227"/>
      <c r="B4" s="541" t="s">
        <v>3</v>
      </c>
      <c r="C4" s="541"/>
      <c r="D4" s="541"/>
      <c r="E4" s="542"/>
    </row>
    <row r="5" spans="1:5" ht="16.5" thickBot="1">
      <c r="A5" s="229"/>
      <c r="B5" s="230"/>
      <c r="C5" s="230"/>
      <c r="D5" s="230"/>
      <c r="E5" s="231"/>
    </row>
    <row r="6" spans="1:5" ht="15" customHeight="1">
      <c r="A6" s="547" t="s">
        <v>55</v>
      </c>
      <c r="B6" s="547"/>
      <c r="C6" s="547"/>
      <c r="D6" s="547"/>
      <c r="E6" s="547"/>
    </row>
    <row r="7" spans="1:5" ht="15.75" customHeight="1">
      <c r="A7" s="547"/>
      <c r="B7" s="547"/>
      <c r="C7" s="547"/>
      <c r="D7" s="547"/>
      <c r="E7" s="547"/>
    </row>
    <row r="8" spans="1:5" ht="15.75" customHeight="1">
      <c r="A8" s="527" t="s">
        <v>4</v>
      </c>
      <c r="B8" s="528"/>
      <c r="C8" s="528"/>
      <c r="D8" s="528"/>
      <c r="E8" s="529"/>
    </row>
    <row r="9" spans="1:5" ht="15.75" customHeight="1">
      <c r="A9" s="527" t="s">
        <v>5</v>
      </c>
      <c r="B9" s="528"/>
      <c r="C9" s="528"/>
      <c r="D9" s="528"/>
      <c r="E9" s="529"/>
    </row>
    <row r="10" spans="1:5" ht="16.5" customHeight="1">
      <c r="A10" s="530" t="s">
        <v>6</v>
      </c>
      <c r="B10" s="530"/>
      <c r="C10" s="530"/>
      <c r="D10" s="530"/>
      <c r="E10" s="530"/>
    </row>
    <row r="11" spans="1:5" ht="16.5" customHeight="1">
      <c r="A11" s="520" t="s">
        <v>7</v>
      </c>
      <c r="B11" s="521"/>
      <c r="C11" s="521"/>
      <c r="D11" s="521"/>
      <c r="E11" s="522"/>
    </row>
    <row r="12" spans="1:5" ht="16.5" customHeight="1">
      <c r="A12" s="520" t="s">
        <v>8</v>
      </c>
      <c r="B12" s="521"/>
      <c r="C12" s="521"/>
      <c r="D12" s="521"/>
      <c r="E12" s="522"/>
    </row>
    <row r="13" spans="1:5" ht="16.5" customHeight="1">
      <c r="A13" s="520" t="s">
        <v>9</v>
      </c>
      <c r="B13" s="521"/>
      <c r="C13" s="521"/>
      <c r="D13" s="521"/>
      <c r="E13" s="522"/>
    </row>
    <row r="14" spans="1:5">
      <c r="A14" s="543" t="s">
        <v>56</v>
      </c>
      <c r="B14" s="543"/>
      <c r="C14" s="543"/>
      <c r="D14" s="234"/>
    </row>
    <row r="15" spans="1:5">
      <c r="A15" s="235" t="s">
        <v>57</v>
      </c>
      <c r="B15" s="557" t="s">
        <v>58</v>
      </c>
      <c r="C15" s="558"/>
      <c r="D15" s="559"/>
      <c r="E15" s="236">
        <v>45162</v>
      </c>
    </row>
    <row r="16" spans="1:5">
      <c r="A16" s="235" t="s">
        <v>59</v>
      </c>
      <c r="B16" s="557" t="s">
        <v>60</v>
      </c>
      <c r="C16" s="558"/>
      <c r="D16" s="559"/>
      <c r="E16" s="237" t="s">
        <v>61</v>
      </c>
    </row>
    <row r="17" spans="1:8" customFormat="1" ht="28.5">
      <c r="A17" s="238" t="s">
        <v>62</v>
      </c>
      <c r="B17" s="560" t="s">
        <v>230</v>
      </c>
      <c r="C17" s="561"/>
      <c r="D17" s="562"/>
      <c r="E17" s="239" t="s">
        <v>456</v>
      </c>
    </row>
    <row r="18" spans="1:8" customFormat="1">
      <c r="A18" s="240" t="s">
        <v>63</v>
      </c>
      <c r="B18" s="563" t="s">
        <v>231</v>
      </c>
      <c r="C18" s="564"/>
      <c r="D18" s="565"/>
      <c r="E18" s="241" t="s">
        <v>31</v>
      </c>
    </row>
    <row r="19" spans="1:8" customFormat="1" ht="58.5" customHeight="1">
      <c r="A19" s="242"/>
      <c r="B19" s="566" t="s">
        <v>457</v>
      </c>
      <c r="C19" s="567"/>
      <c r="D19" s="568"/>
      <c r="E19" s="243" t="s">
        <v>458</v>
      </c>
      <c r="G19" s="486" t="s">
        <v>453</v>
      </c>
    </row>
    <row r="20" spans="1:8">
      <c r="A20" s="244"/>
      <c r="B20" s="245"/>
      <c r="C20" s="245"/>
      <c r="D20" s="245"/>
      <c r="E20" s="246"/>
    </row>
    <row r="21" spans="1:8" ht="31.5">
      <c r="A21" s="247"/>
      <c r="B21" s="248" t="s">
        <v>65</v>
      </c>
      <c r="C21" s="249" t="s">
        <v>66</v>
      </c>
      <c r="D21" s="569" t="s">
        <v>67</v>
      </c>
      <c r="E21" s="570"/>
    </row>
    <row r="22" spans="1:8">
      <c r="A22" s="235"/>
      <c r="B22" s="250" t="s">
        <v>68</v>
      </c>
      <c r="C22" s="251" t="s">
        <v>69</v>
      </c>
      <c r="D22" s="548">
        <v>4</v>
      </c>
      <c r="E22" s="549"/>
    </row>
    <row r="23" spans="1:8">
      <c r="A23" s="235"/>
      <c r="B23" s="250" t="s">
        <v>70</v>
      </c>
      <c r="C23" s="251"/>
      <c r="D23" s="251"/>
      <c r="E23" s="252"/>
    </row>
    <row r="24" spans="1:8">
      <c r="A24" s="543" t="s">
        <v>71</v>
      </c>
      <c r="B24" s="543"/>
      <c r="C24" s="543"/>
      <c r="D24" s="543"/>
      <c r="E24" s="543"/>
    </row>
    <row r="25" spans="1:8" ht="27.75" customHeight="1">
      <c r="A25" s="550" t="s">
        <v>72</v>
      </c>
      <c r="B25" s="550"/>
      <c r="C25" s="550"/>
      <c r="D25" s="550"/>
      <c r="E25" s="550"/>
    </row>
    <row r="26" spans="1:8" ht="27.75" customHeight="1">
      <c r="A26" s="551" t="s">
        <v>73</v>
      </c>
      <c r="B26" s="552"/>
      <c r="C26" s="552"/>
      <c r="D26" s="552"/>
      <c r="E26" s="553"/>
    </row>
    <row r="27" spans="1:8" ht="20.25" customHeight="1">
      <c r="A27" s="235">
        <v>1</v>
      </c>
      <c r="B27" s="253" t="s">
        <v>74</v>
      </c>
      <c r="C27" s="554" t="s">
        <v>75</v>
      </c>
      <c r="D27" s="555"/>
      <c r="E27" s="556"/>
    </row>
    <row r="28" spans="1:8" ht="15" customHeight="1">
      <c r="A28" s="251">
        <v>2</v>
      </c>
      <c r="B28" s="253" t="s">
        <v>76</v>
      </c>
      <c r="C28" s="554" t="s">
        <v>77</v>
      </c>
      <c r="D28" s="554"/>
      <c r="E28" s="554"/>
    </row>
    <row r="29" spans="1:8" ht="15" customHeight="1">
      <c r="A29" s="251">
        <v>3</v>
      </c>
      <c r="B29" s="255" t="s">
        <v>78</v>
      </c>
      <c r="C29" s="578">
        <v>1617.2</v>
      </c>
      <c r="D29" s="579"/>
      <c r="E29" s="579"/>
    </row>
    <row r="30" spans="1:8" ht="15" customHeight="1">
      <c r="A30" s="251">
        <v>4</v>
      </c>
      <c r="B30" s="256" t="s">
        <v>79</v>
      </c>
      <c r="C30" s="580" t="s">
        <v>80</v>
      </c>
      <c r="D30" s="580"/>
      <c r="E30" s="580"/>
    </row>
    <row r="31" spans="1:8" ht="15" customHeight="1">
      <c r="A31" s="251">
        <v>5</v>
      </c>
      <c r="B31" s="256" t="s">
        <v>81</v>
      </c>
      <c r="C31" s="581">
        <v>44927</v>
      </c>
      <c r="D31" s="582"/>
      <c r="E31" s="582"/>
      <c r="H31" s="257"/>
    </row>
    <row r="32" spans="1:8" ht="15" customHeight="1">
      <c r="A32" s="251">
        <v>6</v>
      </c>
      <c r="B32" s="250" t="s">
        <v>82</v>
      </c>
      <c r="C32" s="581" t="s">
        <v>83</v>
      </c>
      <c r="D32" s="582"/>
      <c r="E32" s="582"/>
    </row>
    <row r="33" spans="1:9" ht="15" customHeight="1">
      <c r="A33" s="251">
        <v>7</v>
      </c>
      <c r="B33" s="250" t="s">
        <v>84</v>
      </c>
      <c r="C33" s="581" t="s">
        <v>85</v>
      </c>
      <c r="D33" s="582"/>
      <c r="E33" s="582"/>
    </row>
    <row r="34" spans="1:9" ht="15" customHeight="1">
      <c r="A34" s="258"/>
      <c r="B34" s="259"/>
      <c r="C34" s="260"/>
      <c r="D34" s="261"/>
      <c r="E34" s="261"/>
    </row>
    <row r="35" spans="1:9">
      <c r="A35" s="543" t="s">
        <v>86</v>
      </c>
      <c r="B35" s="543"/>
      <c r="C35" s="543"/>
      <c r="D35" s="543"/>
      <c r="E35" s="543"/>
    </row>
    <row r="36" spans="1:9">
      <c r="A36" s="262">
        <v>1</v>
      </c>
      <c r="B36" s="263" t="s">
        <v>87</v>
      </c>
      <c r="C36" s="264"/>
      <c r="D36" s="265"/>
      <c r="E36" s="262" t="s">
        <v>88</v>
      </c>
    </row>
    <row r="37" spans="1:9">
      <c r="A37" s="254" t="s">
        <v>89</v>
      </c>
      <c r="B37" s="266" t="s">
        <v>239</v>
      </c>
      <c r="C37" s="267">
        <v>4</v>
      </c>
      <c r="D37" s="268">
        <v>1617.2</v>
      </c>
      <c r="E37" s="269">
        <f t="shared" ref="E37:E42" si="0">D37*C37</f>
        <v>6468.8</v>
      </c>
    </row>
    <row r="38" spans="1:9">
      <c r="A38" s="254" t="s">
        <v>59</v>
      </c>
      <c r="B38" s="270" t="s">
        <v>90</v>
      </c>
      <c r="C38" s="271">
        <v>0.3</v>
      </c>
      <c r="D38" s="272">
        <f>(D37*30%)</f>
        <v>485.15999999999997</v>
      </c>
      <c r="E38" s="273">
        <f>D38*C37</f>
        <v>1940.6399999999999</v>
      </c>
      <c r="I38" s="257"/>
    </row>
    <row r="39" spans="1:9">
      <c r="A39" s="254" t="s">
        <v>62</v>
      </c>
      <c r="B39" s="270" t="s">
        <v>91</v>
      </c>
      <c r="C39" s="274">
        <v>2</v>
      </c>
      <c r="D39" s="272">
        <f>(D37+D38)/220*0.3*120</f>
        <v>344.02254545454542</v>
      </c>
      <c r="E39" s="273">
        <f t="shared" si="0"/>
        <v>688.04509090909085</v>
      </c>
    </row>
    <row r="40" spans="1:9">
      <c r="A40" s="254" t="s">
        <v>63</v>
      </c>
      <c r="B40" s="270" t="s">
        <v>92</v>
      </c>
      <c r="C40" s="274">
        <v>2</v>
      </c>
      <c r="D40" s="272">
        <f>(D37+D38)/220*1.6*15</f>
        <v>229.34836363636364</v>
      </c>
      <c r="E40" s="273">
        <f t="shared" si="0"/>
        <v>458.69672727272729</v>
      </c>
    </row>
    <row r="41" spans="1:9">
      <c r="A41" s="254" t="s">
        <v>93</v>
      </c>
      <c r="B41" s="270" t="s">
        <v>94</v>
      </c>
      <c r="C41" s="274"/>
      <c r="D41" s="272"/>
      <c r="E41" s="273">
        <f t="shared" si="0"/>
        <v>0</v>
      </c>
    </row>
    <row r="42" spans="1:9">
      <c r="A42" s="254" t="s">
        <v>95</v>
      </c>
      <c r="B42" s="270" t="s">
        <v>96</v>
      </c>
      <c r="C42" s="274"/>
      <c r="D42" s="272"/>
      <c r="E42" s="273">
        <f t="shared" si="0"/>
        <v>0</v>
      </c>
    </row>
    <row r="43" spans="1:9">
      <c r="A43" s="275"/>
      <c r="B43" s="571" t="s">
        <v>97</v>
      </c>
      <c r="C43" s="572"/>
      <c r="D43" s="276"/>
      <c r="E43" s="277">
        <f>SUM(E37:E42)</f>
        <v>9556.181818181818</v>
      </c>
    </row>
    <row r="44" spans="1:9">
      <c r="A44" s="543" t="s">
        <v>98</v>
      </c>
      <c r="B44" s="543"/>
      <c r="C44" s="543"/>
      <c r="D44" s="543"/>
      <c r="E44" s="543"/>
    </row>
    <row r="45" spans="1:9">
      <c r="A45" s="573" t="s">
        <v>99</v>
      </c>
      <c r="B45" s="573"/>
      <c r="C45" s="573"/>
      <c r="D45" s="573"/>
      <c r="E45" s="573"/>
    </row>
    <row r="46" spans="1:9" ht="15.75" customHeight="1">
      <c r="A46" s="278" t="s">
        <v>100</v>
      </c>
      <c r="B46" s="574" t="s">
        <v>101</v>
      </c>
      <c r="C46" s="575"/>
      <c r="D46" s="279" t="s">
        <v>102</v>
      </c>
      <c r="E46" s="280" t="s">
        <v>88</v>
      </c>
    </row>
    <row r="47" spans="1:9" ht="29.25" customHeight="1">
      <c r="A47" s="281" t="s">
        <v>57</v>
      </c>
      <c r="B47" s="576" t="s">
        <v>103</v>
      </c>
      <c r="C47" s="577"/>
      <c r="D47" s="284">
        <v>8.3299999999999999E-2</v>
      </c>
      <c r="E47" s="285">
        <f>(TRUNC($E$43*D47,2))</f>
        <v>796.02</v>
      </c>
    </row>
    <row r="48" spans="1:9">
      <c r="A48" s="281" t="s">
        <v>59</v>
      </c>
      <c r="B48" s="576" t="s">
        <v>104</v>
      </c>
      <c r="C48" s="577"/>
      <c r="D48" s="286">
        <v>0.121</v>
      </c>
      <c r="E48" s="285">
        <f>(TRUNC($E$43*D48,2))</f>
        <v>1156.29</v>
      </c>
    </row>
    <row r="49" spans="1:5">
      <c r="A49" s="281"/>
      <c r="B49" s="282" t="s">
        <v>105</v>
      </c>
      <c r="C49" s="283"/>
      <c r="D49" s="286">
        <f>SUM(D47:D48)</f>
        <v>0.20429999999999998</v>
      </c>
      <c r="E49" s="285">
        <f>SUM(E47:E48)</f>
        <v>1952.31</v>
      </c>
    </row>
    <row r="50" spans="1:5">
      <c r="A50" s="287"/>
      <c r="B50" s="585" t="s">
        <v>106</v>
      </c>
      <c r="C50" s="586"/>
      <c r="D50" s="288">
        <f>D49</f>
        <v>0.20429999999999998</v>
      </c>
      <c r="E50" s="289">
        <f>E49</f>
        <v>1952.31</v>
      </c>
    </row>
    <row r="51" spans="1:5">
      <c r="A51" s="281"/>
      <c r="B51" s="282"/>
      <c r="C51" s="283"/>
      <c r="D51" s="286"/>
      <c r="E51" s="290"/>
    </row>
    <row r="52" spans="1:5" ht="9" customHeight="1">
      <c r="A52" s="234"/>
      <c r="B52" s="234"/>
      <c r="C52" s="234"/>
      <c r="D52" s="234"/>
      <c r="E52" s="234"/>
    </row>
    <row r="53" spans="1:5">
      <c r="A53" s="587" t="s">
        <v>107</v>
      </c>
      <c r="B53" s="588"/>
      <c r="C53" s="588"/>
      <c r="D53" s="588"/>
      <c r="E53" s="588"/>
    </row>
    <row r="54" spans="1:5">
      <c r="A54" s="291" t="s">
        <v>108</v>
      </c>
      <c r="B54" s="584" t="s">
        <v>109</v>
      </c>
      <c r="C54" s="584"/>
      <c r="D54" s="291" t="s">
        <v>102</v>
      </c>
      <c r="E54" s="291" t="s">
        <v>110</v>
      </c>
    </row>
    <row r="55" spans="1:5">
      <c r="A55" s="292" t="s">
        <v>57</v>
      </c>
      <c r="B55" s="583" t="s">
        <v>111</v>
      </c>
      <c r="C55" s="583"/>
      <c r="D55" s="293">
        <v>0.2</v>
      </c>
      <c r="E55" s="294">
        <f t="shared" ref="E55:E62" si="1">(TRUNC(($E$43+$E$50)*D55,2))</f>
        <v>2301.69</v>
      </c>
    </row>
    <row r="56" spans="1:5">
      <c r="A56" s="295" t="s">
        <v>59</v>
      </c>
      <c r="B56" s="583" t="s">
        <v>112</v>
      </c>
      <c r="C56" s="583"/>
      <c r="D56" s="293">
        <v>2.5000000000000001E-2</v>
      </c>
      <c r="E56" s="294">
        <f t="shared" si="1"/>
        <v>287.70999999999998</v>
      </c>
    </row>
    <row r="57" spans="1:5">
      <c r="A57" s="295" t="s">
        <v>62</v>
      </c>
      <c r="B57" s="583" t="s">
        <v>113</v>
      </c>
      <c r="C57" s="583"/>
      <c r="D57" s="293">
        <f>3*1.007%</f>
        <v>3.0209999999999997E-2</v>
      </c>
      <c r="E57" s="294">
        <f t="shared" si="1"/>
        <v>347.67</v>
      </c>
    </row>
    <row r="58" spans="1:5">
      <c r="A58" s="295" t="s">
        <v>63</v>
      </c>
      <c r="B58" s="583" t="s">
        <v>114</v>
      </c>
      <c r="C58" s="583"/>
      <c r="D58" s="293">
        <v>1.4999999999999999E-2</v>
      </c>
      <c r="E58" s="294">
        <f t="shared" si="1"/>
        <v>172.62</v>
      </c>
    </row>
    <row r="59" spans="1:5">
      <c r="A59" s="295" t="s">
        <v>64</v>
      </c>
      <c r="B59" s="583" t="s">
        <v>115</v>
      </c>
      <c r="C59" s="583"/>
      <c r="D59" s="293">
        <v>0.01</v>
      </c>
      <c r="E59" s="294">
        <f t="shared" si="1"/>
        <v>115.08</v>
      </c>
    </row>
    <row r="60" spans="1:5">
      <c r="A60" s="295" t="s">
        <v>93</v>
      </c>
      <c r="B60" s="583" t="s">
        <v>116</v>
      </c>
      <c r="C60" s="583"/>
      <c r="D60" s="293">
        <v>6.0000000000000001E-3</v>
      </c>
      <c r="E60" s="294">
        <f t="shared" si="1"/>
        <v>69.05</v>
      </c>
    </row>
    <row r="61" spans="1:5">
      <c r="A61" s="292" t="s">
        <v>95</v>
      </c>
      <c r="B61" s="583" t="s">
        <v>117</v>
      </c>
      <c r="C61" s="583"/>
      <c r="D61" s="293">
        <v>2E-3</v>
      </c>
      <c r="E61" s="294">
        <f t="shared" si="1"/>
        <v>23.01</v>
      </c>
    </row>
    <row r="62" spans="1:5">
      <c r="A62" s="292" t="s">
        <v>118</v>
      </c>
      <c r="B62" s="583" t="s">
        <v>119</v>
      </c>
      <c r="C62" s="583"/>
      <c r="D62" s="293">
        <v>0.08</v>
      </c>
      <c r="E62" s="294">
        <f t="shared" si="1"/>
        <v>920.67</v>
      </c>
    </row>
    <row r="63" spans="1:5">
      <c r="A63" s="584" t="s">
        <v>120</v>
      </c>
      <c r="B63" s="584"/>
      <c r="C63" s="584"/>
      <c r="D63" s="296">
        <f>SUM(D55:D62)</f>
        <v>0.36821000000000004</v>
      </c>
      <c r="E63" s="297">
        <f>SUM(E55:E62)</f>
        <v>4237.5</v>
      </c>
    </row>
    <row r="64" spans="1:5">
      <c r="A64" s="298" t="s">
        <v>121</v>
      </c>
      <c r="B64" s="299"/>
      <c r="C64" s="299"/>
      <c r="D64" s="299"/>
      <c r="E64" s="300"/>
    </row>
    <row r="65" spans="1:7">
      <c r="A65" s="301" t="s">
        <v>122</v>
      </c>
      <c r="B65" s="300"/>
      <c r="C65" s="300"/>
      <c r="D65" s="300"/>
      <c r="E65" s="300"/>
    </row>
    <row r="66" spans="1:7">
      <c r="A66" s="301" t="s">
        <v>123</v>
      </c>
      <c r="B66" s="300"/>
      <c r="C66" s="300"/>
      <c r="D66" s="300"/>
      <c r="E66" s="300"/>
    </row>
    <row r="67" spans="1:7">
      <c r="A67" s="301" t="s">
        <v>124</v>
      </c>
      <c r="B67" s="300"/>
      <c r="C67" s="300"/>
      <c r="D67" s="300"/>
      <c r="E67" s="300"/>
    </row>
    <row r="68" spans="1:7">
      <c r="A68" s="301"/>
      <c r="B68" s="300"/>
      <c r="C68" s="300"/>
      <c r="D68" s="300"/>
      <c r="E68" s="300"/>
    </row>
    <row r="69" spans="1:7">
      <c r="A69" s="573" t="s">
        <v>125</v>
      </c>
      <c r="B69" s="573"/>
      <c r="C69" s="573"/>
      <c r="D69" s="573"/>
      <c r="E69" s="302"/>
    </row>
    <row r="70" spans="1:7">
      <c r="A70" s="262" t="s">
        <v>126</v>
      </c>
      <c r="B70" s="571" t="s">
        <v>127</v>
      </c>
      <c r="C70" s="572"/>
      <c r="D70" s="265"/>
      <c r="E70" s="303" t="s">
        <v>88</v>
      </c>
    </row>
    <row r="71" spans="1:7" ht="16.5" thickBot="1">
      <c r="A71" s="295" t="s">
        <v>57</v>
      </c>
      <c r="B71" s="304" t="s">
        <v>128</v>
      </c>
      <c r="C71" s="304">
        <v>3.6</v>
      </c>
      <c r="D71" s="305">
        <v>120</v>
      </c>
      <c r="E71" s="306">
        <f>(C71*D71)-E37*6%</f>
        <v>43.872000000000014</v>
      </c>
      <c r="F71" s="307">
        <f>E71/4</f>
        <v>10.968000000000004</v>
      </c>
    </row>
    <row r="72" spans="1:7" ht="21" customHeight="1" thickBot="1">
      <c r="A72" s="295" t="s">
        <v>59</v>
      </c>
      <c r="B72" s="311" t="s">
        <v>129</v>
      </c>
      <c r="C72" s="311">
        <v>4</v>
      </c>
      <c r="D72" s="410">
        <v>522.74</v>
      </c>
      <c r="E72" s="306">
        <f t="shared" ref="E72:E74" si="2">D72*C72</f>
        <v>2090.96</v>
      </c>
    </row>
    <row r="73" spans="1:7" ht="16.5" thickBot="1">
      <c r="A73" s="358" t="s">
        <v>62</v>
      </c>
      <c r="B73" s="308" t="s">
        <v>130</v>
      </c>
      <c r="C73" s="308">
        <v>4</v>
      </c>
      <c r="D73" s="310">
        <f>D37*26*0.002/12</f>
        <v>7.0078666666666676</v>
      </c>
      <c r="E73" s="309">
        <f t="shared" si="2"/>
        <v>28.03146666666667</v>
      </c>
    </row>
    <row r="74" spans="1:7" ht="15" customHeight="1" thickBot="1">
      <c r="A74" s="295" t="s">
        <v>63</v>
      </c>
      <c r="B74" s="304" t="s">
        <v>131</v>
      </c>
      <c r="C74" s="304">
        <v>4</v>
      </c>
      <c r="D74" s="305">
        <v>54.97</v>
      </c>
      <c r="E74" s="306">
        <f t="shared" si="2"/>
        <v>219.88</v>
      </c>
    </row>
    <row r="75" spans="1:7" ht="15" customHeight="1" thickBot="1">
      <c r="A75" s="295" t="s">
        <v>64</v>
      </c>
      <c r="B75" s="304" t="s">
        <v>132</v>
      </c>
      <c r="C75" s="304"/>
      <c r="D75" s="312"/>
      <c r="E75" s="313"/>
    </row>
    <row r="76" spans="1:7">
      <c r="A76" s="292"/>
      <c r="B76" s="598"/>
      <c r="C76" s="599"/>
      <c r="E76" s="315" t="s">
        <v>133</v>
      </c>
    </row>
    <row r="77" spans="1:7">
      <c r="A77" s="275"/>
      <c r="B77" s="571" t="s">
        <v>134</v>
      </c>
      <c r="C77" s="572"/>
      <c r="D77" s="276"/>
      <c r="E77" s="316">
        <f>SUM(E71:E76)</f>
        <v>2382.7434666666668</v>
      </c>
    </row>
    <row r="78" spans="1:7" ht="35.25" customHeight="1">
      <c r="A78" s="600" t="s">
        <v>135</v>
      </c>
      <c r="B78" s="600"/>
      <c r="C78" s="600"/>
      <c r="D78" s="600"/>
      <c r="E78" s="600"/>
      <c r="F78" s="317"/>
      <c r="G78" s="317"/>
    </row>
    <row r="79" spans="1:7" customFormat="1" ht="15">
      <c r="A79" s="601" t="s">
        <v>232</v>
      </c>
      <c r="B79" s="602"/>
      <c r="C79" s="602"/>
      <c r="D79" s="602"/>
      <c r="E79" s="603"/>
      <c r="F79" s="318"/>
      <c r="G79" s="318"/>
    </row>
    <row r="80" spans="1:7" customFormat="1" ht="15">
      <c r="A80" s="319" t="s">
        <v>233</v>
      </c>
      <c r="B80" s="319" t="s">
        <v>234</v>
      </c>
      <c r="C80" s="319" t="s">
        <v>235</v>
      </c>
      <c r="D80" s="319" t="s">
        <v>236</v>
      </c>
      <c r="E80" s="319" t="s">
        <v>88</v>
      </c>
      <c r="F80" s="318"/>
      <c r="G80" s="318"/>
    </row>
    <row r="81" spans="1:7" customFormat="1" ht="15">
      <c r="A81" s="320" t="s">
        <v>57</v>
      </c>
      <c r="B81" s="321" t="s">
        <v>237</v>
      </c>
      <c r="C81" s="320">
        <v>2</v>
      </c>
      <c r="D81" s="322">
        <f>(D37+D38)/220*1.5*15</f>
        <v>215.0140909090909</v>
      </c>
      <c r="E81" s="323">
        <f>D81*C81</f>
        <v>430.02818181818179</v>
      </c>
      <c r="F81" s="318"/>
      <c r="G81" s="318"/>
    </row>
    <row r="82" spans="1:7" customFormat="1" ht="15">
      <c r="A82" s="320" t="s">
        <v>59</v>
      </c>
      <c r="B82" s="321" t="s">
        <v>237</v>
      </c>
      <c r="C82" s="320">
        <v>2</v>
      </c>
      <c r="D82" s="322">
        <f>(D37+D38)/220*1.5*15</f>
        <v>215.0140909090909</v>
      </c>
      <c r="E82" s="323">
        <f>D82*C82</f>
        <v>430.02818181818179</v>
      </c>
      <c r="F82" s="318"/>
      <c r="G82" s="318"/>
    </row>
    <row r="83" spans="1:7" customFormat="1" ht="15">
      <c r="A83" s="589" t="s">
        <v>238</v>
      </c>
      <c r="B83" s="590"/>
      <c r="C83" s="590"/>
      <c r="D83" s="591"/>
      <c r="E83" s="324">
        <f>E81+E82</f>
        <v>860.05636363636359</v>
      </c>
      <c r="F83" s="318"/>
      <c r="G83" s="318"/>
    </row>
    <row r="84" spans="1:7" customFormat="1" ht="15">
      <c r="A84" s="325"/>
      <c r="B84" s="326"/>
      <c r="C84" s="326"/>
      <c r="D84" s="327"/>
      <c r="E84" s="328"/>
      <c r="F84" s="318"/>
      <c r="G84" s="318"/>
    </row>
    <row r="85" spans="1:7" ht="15.6" customHeight="1">
      <c r="A85" s="592" t="s">
        <v>136</v>
      </c>
      <c r="B85" s="592"/>
      <c r="C85" s="592"/>
      <c r="D85" s="592"/>
      <c r="E85" s="592"/>
    </row>
    <row r="86" spans="1:7">
      <c r="A86" s="303">
        <v>2</v>
      </c>
      <c r="B86" s="571" t="s">
        <v>137</v>
      </c>
      <c r="C86" s="572"/>
      <c r="D86" s="265"/>
      <c r="E86" s="303" t="s">
        <v>88</v>
      </c>
    </row>
    <row r="87" spans="1:7">
      <c r="A87" s="295" t="s">
        <v>100</v>
      </c>
      <c r="B87" s="593" t="s">
        <v>138</v>
      </c>
      <c r="C87" s="593"/>
      <c r="D87" s="314"/>
      <c r="E87" s="329">
        <f>E50</f>
        <v>1952.31</v>
      </c>
    </row>
    <row r="88" spans="1:7">
      <c r="A88" s="295" t="s">
        <v>108</v>
      </c>
      <c r="B88" s="594" t="s">
        <v>109</v>
      </c>
      <c r="C88" s="595"/>
      <c r="D88" s="314"/>
      <c r="E88" s="329">
        <f>$E$63</f>
        <v>4237.5</v>
      </c>
    </row>
    <row r="89" spans="1:7">
      <c r="A89" s="295" t="s">
        <v>126</v>
      </c>
      <c r="B89" s="596" t="s">
        <v>139</v>
      </c>
      <c r="C89" s="597"/>
      <c r="D89" s="314"/>
      <c r="E89" s="329">
        <f>$E$77</f>
        <v>2382.7434666666668</v>
      </c>
    </row>
    <row r="90" spans="1:7">
      <c r="A90" s="295" t="s">
        <v>233</v>
      </c>
      <c r="B90" s="331" t="s">
        <v>234</v>
      </c>
      <c r="C90" s="332"/>
      <c r="D90" s="314"/>
      <c r="E90" s="329">
        <f>E83</f>
        <v>860.05636363636359</v>
      </c>
    </row>
    <row r="91" spans="1:7">
      <c r="A91" s="333"/>
      <c r="B91" s="610" t="s">
        <v>106</v>
      </c>
      <c r="C91" s="610"/>
      <c r="D91" s="276"/>
      <c r="E91" s="334">
        <f>SUM(E87:E90)</f>
        <v>9432.6098303030303</v>
      </c>
    </row>
    <row r="92" spans="1:7" ht="9" customHeight="1">
      <c r="A92" s="335"/>
      <c r="B92" s="336"/>
      <c r="C92" s="336"/>
      <c r="D92" s="336"/>
      <c r="E92" s="337"/>
    </row>
    <row r="93" spans="1:7" ht="15.75" customHeight="1">
      <c r="A93" s="611" t="s">
        <v>140</v>
      </c>
      <c r="B93" s="611"/>
      <c r="C93" s="611"/>
      <c r="D93" s="611"/>
      <c r="E93" s="611"/>
      <c r="G93" s="338" t="e">
        <f>#REF!+D63+D101+D113</f>
        <v>#REF!</v>
      </c>
    </row>
    <row r="94" spans="1:7">
      <c r="A94" s="291">
        <v>3</v>
      </c>
      <c r="B94" s="339" t="s">
        <v>141</v>
      </c>
      <c r="C94" s="265"/>
      <c r="D94" s="291" t="s">
        <v>102</v>
      </c>
      <c r="E94" s="291" t="s">
        <v>142</v>
      </c>
    </row>
    <row r="95" spans="1:7" ht="18" customHeight="1">
      <c r="A95" s="494" t="s">
        <v>57</v>
      </c>
      <c r="B95" s="495" t="s">
        <v>143</v>
      </c>
      <c r="C95" s="496"/>
      <c r="D95" s="497">
        <v>4.2000000000000002E-4</v>
      </c>
      <c r="E95" s="498">
        <f t="shared" ref="E95:E100" si="3">(TRUNC($E$43*D95,2))</f>
        <v>4.01</v>
      </c>
    </row>
    <row r="96" spans="1:7" ht="18" customHeight="1">
      <c r="A96" s="295" t="s">
        <v>59</v>
      </c>
      <c r="B96" s="341" t="s">
        <v>144</v>
      </c>
      <c r="C96" s="314"/>
      <c r="D96" s="293">
        <f>D95*8%</f>
        <v>3.3600000000000004E-5</v>
      </c>
      <c r="E96" s="340">
        <f t="shared" si="3"/>
        <v>0.32</v>
      </c>
    </row>
    <row r="97" spans="1:7" ht="18" customHeight="1">
      <c r="A97" s="292" t="s">
        <v>62</v>
      </c>
      <c r="B97" s="342" t="s">
        <v>145</v>
      </c>
      <c r="C97" s="314"/>
      <c r="D97" s="293">
        <v>2E-3</v>
      </c>
      <c r="E97" s="340">
        <f t="shared" si="3"/>
        <v>19.11</v>
      </c>
    </row>
    <row r="98" spans="1:7" ht="18" customHeight="1">
      <c r="A98" s="491" t="s">
        <v>63</v>
      </c>
      <c r="B98" s="499" t="s">
        <v>146</v>
      </c>
      <c r="C98" s="496"/>
      <c r="D98" s="497">
        <v>1.9400000000000001E-3</v>
      </c>
      <c r="E98" s="498">
        <f t="shared" si="3"/>
        <v>18.53</v>
      </c>
    </row>
    <row r="99" spans="1:7" ht="18" customHeight="1">
      <c r="A99" s="343" t="s">
        <v>64</v>
      </c>
      <c r="B99" s="330" t="s">
        <v>147</v>
      </c>
      <c r="C99" s="314"/>
      <c r="D99" s="344">
        <f>D98*D63</f>
        <v>7.1432740000000009E-4</v>
      </c>
      <c r="E99" s="340">
        <f t="shared" si="3"/>
        <v>6.82</v>
      </c>
    </row>
    <row r="100" spans="1:7" ht="18" customHeight="1">
      <c r="A100" s="295" t="s">
        <v>93</v>
      </c>
      <c r="B100" s="342" t="s">
        <v>148</v>
      </c>
      <c r="C100" s="314"/>
      <c r="D100" s="345">
        <v>3.7999999999999999E-2</v>
      </c>
      <c r="E100" s="340">
        <f t="shared" si="3"/>
        <v>363.13</v>
      </c>
    </row>
    <row r="101" spans="1:7">
      <c r="A101" s="612" t="s">
        <v>120</v>
      </c>
      <c r="B101" s="613"/>
      <c r="C101" s="276"/>
      <c r="D101" s="296">
        <f>SUM(D95:D100)</f>
        <v>4.3107927399999996E-2</v>
      </c>
      <c r="E101" s="346">
        <f>SUM(E95:E100)</f>
        <v>411.92</v>
      </c>
      <c r="G101" s="347">
        <f>D113+D101+D63+D50</f>
        <v>0.63043692740000001</v>
      </c>
    </row>
    <row r="102" spans="1:7" ht="32.25" customHeight="1">
      <c r="A102" s="614" t="s">
        <v>149</v>
      </c>
      <c r="B102" s="614"/>
      <c r="C102" s="614"/>
      <c r="D102" s="614"/>
      <c r="E102" s="614"/>
    </row>
    <row r="103" spans="1:7">
      <c r="A103" s="335"/>
      <c r="B103" s="336"/>
      <c r="C103" s="336"/>
      <c r="D103" s="336"/>
      <c r="E103" s="337"/>
    </row>
    <row r="104" spans="1:7" ht="15.75" customHeight="1">
      <c r="A104" s="611" t="s">
        <v>150</v>
      </c>
      <c r="B104" s="611"/>
      <c r="C104" s="611"/>
      <c r="D104" s="348"/>
      <c r="E104" s="349">
        <f>E101+E77+E63+E50+E43</f>
        <v>18540.655284848486</v>
      </c>
    </row>
    <row r="105" spans="1:7" ht="15.75" customHeight="1">
      <c r="A105" s="615" t="s">
        <v>151</v>
      </c>
      <c r="B105" s="615"/>
      <c r="C105" s="615"/>
      <c r="D105" s="615"/>
      <c r="E105" s="615"/>
    </row>
    <row r="106" spans="1:7" ht="31.5" customHeight="1">
      <c r="A106" s="350" t="s">
        <v>152</v>
      </c>
      <c r="B106" s="604" t="s">
        <v>153</v>
      </c>
      <c r="C106" s="605"/>
      <c r="D106" s="350" t="s">
        <v>102</v>
      </c>
      <c r="E106" s="350" t="s">
        <v>142</v>
      </c>
    </row>
    <row r="107" spans="1:7" ht="30" customHeight="1">
      <c r="A107" s="292" t="s">
        <v>57</v>
      </c>
      <c r="B107" s="576" t="s">
        <v>154</v>
      </c>
      <c r="C107" s="577"/>
      <c r="D107" s="293">
        <v>9.2589999999999999E-3</v>
      </c>
      <c r="E107" s="340">
        <f t="shared" ref="E107:E112" si="4">(TRUNC($E$104*D107,2))</f>
        <v>171.66</v>
      </c>
    </row>
    <row r="108" spans="1:7" ht="15.75" customHeight="1">
      <c r="A108" s="295" t="s">
        <v>59</v>
      </c>
      <c r="B108" s="606" t="s">
        <v>155</v>
      </c>
      <c r="C108" s="607"/>
      <c r="D108" s="293">
        <v>5.5599999999999998E-3</v>
      </c>
      <c r="E108" s="340">
        <f t="shared" si="4"/>
        <v>103.08</v>
      </c>
    </row>
    <row r="109" spans="1:7" ht="15.75" customHeight="1">
      <c r="A109" s="494" t="s">
        <v>62</v>
      </c>
      <c r="B109" s="608" t="s">
        <v>156</v>
      </c>
      <c r="C109" s="609"/>
      <c r="D109" s="500">
        <v>0</v>
      </c>
      <c r="E109" s="498">
        <f t="shared" si="4"/>
        <v>0</v>
      </c>
    </row>
    <row r="110" spans="1:7" ht="15.75" customHeight="1">
      <c r="A110" s="491" t="s">
        <v>63</v>
      </c>
      <c r="B110" s="608" t="s">
        <v>157</v>
      </c>
      <c r="C110" s="609"/>
      <c r="D110" s="500">
        <v>0</v>
      </c>
      <c r="E110" s="498">
        <f t="shared" si="4"/>
        <v>0</v>
      </c>
    </row>
    <row r="111" spans="1:7" ht="15.75" customHeight="1">
      <c r="A111" s="494" t="s">
        <v>64</v>
      </c>
      <c r="B111" s="608" t="s">
        <v>158</v>
      </c>
      <c r="C111" s="609"/>
      <c r="D111" s="500">
        <v>0</v>
      </c>
      <c r="E111" s="498">
        <f t="shared" si="4"/>
        <v>0</v>
      </c>
    </row>
    <row r="112" spans="1:7" ht="15.75" customHeight="1">
      <c r="A112" s="295" t="s">
        <v>93</v>
      </c>
      <c r="B112" s="619" t="s">
        <v>159</v>
      </c>
      <c r="C112" s="620"/>
      <c r="D112" s="293">
        <v>0</v>
      </c>
      <c r="E112" s="340">
        <f t="shared" si="4"/>
        <v>0</v>
      </c>
    </row>
    <row r="113" spans="1:5" ht="15.75" customHeight="1">
      <c r="A113" s="612" t="s">
        <v>41</v>
      </c>
      <c r="B113" s="613"/>
      <c r="C113" s="621"/>
      <c r="D113" s="351">
        <f>SUM(D107:D112)</f>
        <v>1.4818999999999999E-2</v>
      </c>
      <c r="E113" s="346">
        <f>SUM(E107:E112)</f>
        <v>274.74</v>
      </c>
    </row>
    <row r="114" spans="1:5" ht="15.75" customHeight="1">
      <c r="A114" s="352"/>
      <c r="B114" s="622"/>
      <c r="C114" s="623"/>
      <c r="D114" s="353"/>
      <c r="E114" s="354"/>
    </row>
    <row r="115" spans="1:5">
      <c r="A115" s="355"/>
      <c r="B115" s="356"/>
      <c r="C115" s="356"/>
      <c r="D115" s="356"/>
      <c r="E115" s="356"/>
    </row>
    <row r="116" spans="1:5" ht="15.75" customHeight="1">
      <c r="A116" s="615" t="s">
        <v>160</v>
      </c>
      <c r="B116" s="615"/>
      <c r="C116" s="615"/>
      <c r="D116" s="615"/>
      <c r="E116" s="624"/>
    </row>
    <row r="117" spans="1:5">
      <c r="A117" s="303" t="s">
        <v>161</v>
      </c>
      <c r="B117" s="571" t="s">
        <v>162</v>
      </c>
      <c r="C117" s="572"/>
      <c r="D117" s="265"/>
      <c r="E117" s="303" t="s">
        <v>88</v>
      </c>
    </row>
    <row r="118" spans="1:5" ht="27" customHeight="1">
      <c r="A118" s="254" t="s">
        <v>57</v>
      </c>
      <c r="B118" s="618" t="s">
        <v>163</v>
      </c>
      <c r="C118" s="618"/>
      <c r="D118" s="314"/>
      <c r="E118" s="315"/>
    </row>
    <row r="119" spans="1:5">
      <c r="A119" s="333"/>
      <c r="B119" s="610" t="s">
        <v>106</v>
      </c>
      <c r="C119" s="610"/>
      <c r="D119" s="276"/>
      <c r="E119" s="334">
        <f>SUM(E118:E118)</f>
        <v>0</v>
      </c>
    </row>
    <row r="120" spans="1:5">
      <c r="A120" s="355"/>
      <c r="B120" s="356"/>
      <c r="C120" s="356"/>
      <c r="D120" s="356"/>
      <c r="E120" s="356"/>
    </row>
    <row r="121" spans="1:5" ht="15.75" customHeight="1">
      <c r="A121" s="617" t="s">
        <v>164</v>
      </c>
      <c r="B121" s="617"/>
      <c r="C121" s="617"/>
      <c r="D121" s="617"/>
      <c r="E121" s="611"/>
    </row>
    <row r="122" spans="1:5">
      <c r="A122" s="303">
        <v>4</v>
      </c>
      <c r="B122" s="571" t="s">
        <v>165</v>
      </c>
      <c r="C122" s="572"/>
      <c r="D122" s="265"/>
      <c r="E122" s="303" t="s">
        <v>88</v>
      </c>
    </row>
    <row r="123" spans="1:5">
      <c r="A123" s="295" t="s">
        <v>152</v>
      </c>
      <c r="B123" s="593" t="s">
        <v>166</v>
      </c>
      <c r="C123" s="593"/>
      <c r="D123" s="314"/>
      <c r="E123" s="329">
        <f>$E$113</f>
        <v>274.74</v>
      </c>
    </row>
    <row r="124" spans="1:5">
      <c r="A124" s="254" t="s">
        <v>161</v>
      </c>
      <c r="B124" s="618" t="s">
        <v>167</v>
      </c>
      <c r="C124" s="618"/>
      <c r="D124" s="314"/>
      <c r="E124" s="329">
        <f>$E$119</f>
        <v>0</v>
      </c>
    </row>
    <row r="125" spans="1:5">
      <c r="A125" s="333"/>
      <c r="B125" s="610" t="s">
        <v>106</v>
      </c>
      <c r="C125" s="610"/>
      <c r="D125" s="276"/>
      <c r="E125" s="316">
        <f>SUM(E123:E124)</f>
        <v>274.74</v>
      </c>
    </row>
    <row r="126" spans="1:5" ht="7.5" customHeight="1">
      <c r="A126" s="234"/>
      <c r="B126" s="234"/>
      <c r="C126" s="234"/>
      <c r="D126" s="234"/>
      <c r="E126" s="234"/>
    </row>
    <row r="127" spans="1:5">
      <c r="A127" s="543" t="s">
        <v>168</v>
      </c>
      <c r="B127" s="543"/>
      <c r="C127" s="543"/>
      <c r="D127" s="543"/>
      <c r="E127" s="302"/>
    </row>
    <row r="128" spans="1:5" ht="9" customHeight="1">
      <c r="A128" s="234"/>
      <c r="B128" s="234"/>
      <c r="C128" s="234"/>
      <c r="D128" s="234"/>
      <c r="E128" s="234"/>
    </row>
    <row r="129" spans="1:8">
      <c r="A129" s="303">
        <v>5</v>
      </c>
      <c r="B129" s="571" t="s">
        <v>169</v>
      </c>
      <c r="C129" s="572"/>
      <c r="D129" s="265"/>
      <c r="E129" s="303" t="s">
        <v>88</v>
      </c>
    </row>
    <row r="130" spans="1:8">
      <c r="A130" s="295" t="s">
        <v>57</v>
      </c>
      <c r="B130" s="411" t="s">
        <v>170</v>
      </c>
      <c r="C130" s="252">
        <v>4</v>
      </c>
      <c r="D130" s="412">
        <v>102.33</v>
      </c>
      <c r="E130" s="413">
        <f t="shared" ref="E130:E135" si="5">D130*C130</f>
        <v>409.32</v>
      </c>
    </row>
    <row r="131" spans="1:8">
      <c r="A131" s="295" t="s">
        <v>59</v>
      </c>
      <c r="B131" s="411" t="s">
        <v>171</v>
      </c>
      <c r="C131" s="252">
        <v>0</v>
      </c>
      <c r="D131" s="412"/>
      <c r="E131" s="413">
        <f t="shared" si="5"/>
        <v>0</v>
      </c>
    </row>
    <row r="132" spans="1:8">
      <c r="A132" s="295" t="s">
        <v>62</v>
      </c>
      <c r="B132" s="330" t="s">
        <v>172</v>
      </c>
      <c r="C132" s="252">
        <v>4</v>
      </c>
      <c r="D132" s="412">
        <v>5</v>
      </c>
      <c r="E132" s="413">
        <f t="shared" si="5"/>
        <v>20</v>
      </c>
    </row>
    <row r="133" spans="1:8">
      <c r="A133" s="295" t="s">
        <v>63</v>
      </c>
      <c r="B133" s="330" t="s">
        <v>173</v>
      </c>
      <c r="C133" s="252">
        <v>1</v>
      </c>
      <c r="D133" s="412">
        <v>102.77</v>
      </c>
      <c r="E133" s="413">
        <f t="shared" si="5"/>
        <v>102.77</v>
      </c>
    </row>
    <row r="134" spans="1:8">
      <c r="A134" s="295" t="s">
        <v>64</v>
      </c>
      <c r="B134" s="411" t="s">
        <v>174</v>
      </c>
      <c r="C134" s="252">
        <v>1</v>
      </c>
      <c r="D134" s="412">
        <v>58.33</v>
      </c>
      <c r="E134" s="413">
        <f t="shared" si="5"/>
        <v>58.33</v>
      </c>
    </row>
    <row r="135" spans="1:8">
      <c r="A135" s="295" t="s">
        <v>93</v>
      </c>
      <c r="B135" s="411" t="s">
        <v>175</v>
      </c>
      <c r="C135" s="252">
        <v>0</v>
      </c>
      <c r="D135" s="412"/>
      <c r="E135" s="413">
        <f t="shared" si="5"/>
        <v>0</v>
      </c>
    </row>
    <row r="136" spans="1:8">
      <c r="A136" s="333"/>
      <c r="B136" s="610" t="s">
        <v>106</v>
      </c>
      <c r="C136" s="610"/>
      <c r="D136" s="276"/>
      <c r="E136" s="414">
        <f>SUM(E130:E135)</f>
        <v>590.42000000000007</v>
      </c>
    </row>
    <row r="137" spans="1:8" ht="9" customHeight="1">
      <c r="A137" s="234"/>
      <c r="B137" s="234"/>
      <c r="C137" s="234"/>
      <c r="D137" s="234"/>
      <c r="E137" s="234"/>
    </row>
    <row r="138" spans="1:8">
      <c r="A138" s="611" t="s">
        <v>176</v>
      </c>
      <c r="B138" s="611"/>
      <c r="C138" s="611"/>
      <c r="D138" s="611"/>
      <c r="E138" s="611"/>
    </row>
    <row r="139" spans="1:8" ht="9.75" customHeight="1">
      <c r="A139" s="234"/>
      <c r="B139" s="234"/>
      <c r="C139" s="234"/>
      <c r="D139" s="234"/>
      <c r="E139" s="234"/>
    </row>
    <row r="140" spans="1:8">
      <c r="A140" s="303">
        <v>6</v>
      </c>
      <c r="B140" s="264" t="s">
        <v>177</v>
      </c>
      <c r="C140" s="265"/>
      <c r="D140" s="291" t="s">
        <v>102</v>
      </c>
      <c r="E140" s="303" t="s">
        <v>178</v>
      </c>
    </row>
    <row r="141" spans="1:8">
      <c r="A141" s="359" t="s">
        <v>57</v>
      </c>
      <c r="B141" s="360" t="s">
        <v>179</v>
      </c>
      <c r="C141" s="314"/>
      <c r="D141" s="361">
        <v>5.5E-2</v>
      </c>
      <c r="E141" s="362">
        <f>($E$43+$E$91+$E$101+$E$125+$E$136)*D141</f>
        <v>1114.6229406666666</v>
      </c>
      <c r="H141" s="363"/>
    </row>
    <row r="142" spans="1:8">
      <c r="A142" s="359" t="s">
        <v>59</v>
      </c>
      <c r="B142" s="364" t="s">
        <v>180</v>
      </c>
      <c r="C142" s="314"/>
      <c r="D142" s="365">
        <v>4.4999999999999998E-2</v>
      </c>
      <c r="E142" s="362">
        <f>($E$43+$E$91+$E$101+$E$125+$E$136+$E$141)*D142</f>
        <v>962.12225651181825</v>
      </c>
    </row>
    <row r="143" spans="1:8">
      <c r="A143" s="359" t="s">
        <v>62</v>
      </c>
      <c r="B143" s="366" t="s">
        <v>181</v>
      </c>
      <c r="C143" s="314"/>
      <c r="D143" s="367"/>
      <c r="E143" s="368"/>
    </row>
    <row r="144" spans="1:8">
      <c r="A144" s="369"/>
      <c r="B144" s="370" t="s">
        <v>182</v>
      </c>
      <c r="C144" s="314"/>
      <c r="D144" s="371"/>
      <c r="E144" s="372"/>
    </row>
    <row r="145" spans="1:9">
      <c r="A145" s="295"/>
      <c r="B145" s="373" t="s">
        <v>183</v>
      </c>
      <c r="C145" s="314"/>
      <c r="D145" s="365">
        <v>0.03</v>
      </c>
      <c r="E145" s="362">
        <f>($E$43+$E$91+$E$101+$E$125+$E$136+$E$141+$E$142)/C152*D145</f>
        <v>733.74767966053639</v>
      </c>
    </row>
    <row r="146" spans="1:9">
      <c r="A146" s="295"/>
      <c r="B146" s="373" t="s">
        <v>184</v>
      </c>
      <c r="C146" s="314"/>
      <c r="D146" s="365">
        <v>6.4999999999999997E-3</v>
      </c>
      <c r="E146" s="362">
        <f>($E$43+$E$91+$E$101+$E$125+$E$136+$E$141+$E$142)/C152*D146</f>
        <v>158.97866392644957</v>
      </c>
      <c r="G146" s="616" t="s">
        <v>185</v>
      </c>
      <c r="H146" s="616"/>
      <c r="I146" s="616"/>
    </row>
    <row r="147" spans="1:9">
      <c r="A147" s="369"/>
      <c r="B147" s="370" t="s">
        <v>186</v>
      </c>
      <c r="C147" s="314"/>
      <c r="D147" s="374"/>
      <c r="E147" s="375"/>
    </row>
    <row r="148" spans="1:9">
      <c r="A148" s="295"/>
      <c r="B148" s="373" t="s">
        <v>187</v>
      </c>
      <c r="C148" s="314"/>
      <c r="D148" s="365">
        <v>0.05</v>
      </c>
      <c r="E148" s="362">
        <f>($E$43+$E$91+$E$101+$E$125+$E$136+$E$141+$E$142)/C152*D148</f>
        <v>1222.9127994342275</v>
      </c>
      <c r="G148" s="376">
        <f>E141+E142+E136+E123+E104</f>
        <v>21482.560482026973</v>
      </c>
    </row>
    <row r="149" spans="1:9">
      <c r="A149" s="377"/>
      <c r="B149" s="370" t="s">
        <v>188</v>
      </c>
      <c r="C149" s="314"/>
      <c r="D149" s="374"/>
      <c r="E149" s="375"/>
      <c r="G149" s="376">
        <f>G148/(1-D151)</f>
        <v>23516.760243050874</v>
      </c>
    </row>
    <row r="150" spans="1:9">
      <c r="A150" s="295"/>
      <c r="B150" s="378" t="s">
        <v>189</v>
      </c>
      <c r="C150" s="314"/>
      <c r="D150" s="365">
        <v>0</v>
      </c>
      <c r="E150" s="362">
        <f>($E$43+$E$91+$E$101+$E$125+$E$136+$E$141+$E$142)/C152*D150</f>
        <v>0</v>
      </c>
      <c r="G150" s="376">
        <f>G149-G148</f>
        <v>2034.1997610239014</v>
      </c>
      <c r="H150" s="376"/>
    </row>
    <row r="151" spans="1:9">
      <c r="A151" s="612" t="s">
        <v>190</v>
      </c>
      <c r="B151" s="613"/>
      <c r="C151" s="276"/>
      <c r="D151" s="379">
        <f>$D$145+$D$146+$D$148+$D$150</f>
        <v>8.6499999999999994E-2</v>
      </c>
      <c r="E151" s="380">
        <f>E141+E142+E145+E146+E148+E150</f>
        <v>4192.3843401996983</v>
      </c>
    </row>
    <row r="152" spans="1:9" s="224" customFormat="1">
      <c r="A152" s="625" t="s">
        <v>191</v>
      </c>
      <c r="B152" s="625"/>
      <c r="C152" s="381">
        <f>1-(D151/100%)</f>
        <v>0.91349999999999998</v>
      </c>
      <c r="D152" s="381"/>
      <c r="E152" s="382"/>
    </row>
    <row r="153" spans="1:9" ht="6" customHeight="1">
      <c r="A153" s="234"/>
      <c r="B153" s="234"/>
      <c r="C153" s="234"/>
      <c r="D153" s="234"/>
      <c r="E153" s="234"/>
    </row>
    <row r="154" spans="1:9">
      <c r="A154" s="573" t="s">
        <v>192</v>
      </c>
      <c r="B154" s="573"/>
      <c r="C154" s="573"/>
      <c r="D154" s="573"/>
      <c r="E154" s="573"/>
    </row>
    <row r="155" spans="1:9">
      <c r="A155" s="610" t="s">
        <v>193</v>
      </c>
      <c r="B155" s="610"/>
      <c r="C155" s="610"/>
      <c r="D155" s="303"/>
      <c r="E155" s="303" t="s">
        <v>178</v>
      </c>
    </row>
    <row r="156" spans="1:9">
      <c r="A156" s="383" t="s">
        <v>57</v>
      </c>
      <c r="B156" s="626" t="s">
        <v>194</v>
      </c>
      <c r="C156" s="626"/>
      <c r="D156" s="384"/>
      <c r="E156" s="385">
        <f>$E$43</f>
        <v>9556.181818181818</v>
      </c>
      <c r="H156" s="363"/>
    </row>
    <row r="157" spans="1:9">
      <c r="A157" s="383" t="s">
        <v>59</v>
      </c>
      <c r="B157" s="626" t="s">
        <v>195</v>
      </c>
      <c r="C157" s="626"/>
      <c r="D157" s="384"/>
      <c r="E157" s="385">
        <f>$E$91</f>
        <v>9432.6098303030303</v>
      </c>
      <c r="H157" s="363"/>
    </row>
    <row r="158" spans="1:9">
      <c r="A158" s="383" t="s">
        <v>62</v>
      </c>
      <c r="B158" s="626" t="s">
        <v>196</v>
      </c>
      <c r="C158" s="626"/>
      <c r="D158" s="384"/>
      <c r="E158" s="385">
        <f>$E$101</f>
        <v>411.92</v>
      </c>
    </row>
    <row r="159" spans="1:9">
      <c r="A159" s="383" t="s">
        <v>63</v>
      </c>
      <c r="B159" s="626" t="s">
        <v>197</v>
      </c>
      <c r="C159" s="626"/>
      <c r="D159" s="384"/>
      <c r="E159" s="386">
        <f>$E$125</f>
        <v>274.74</v>
      </c>
    </row>
    <row r="160" spans="1:9">
      <c r="A160" s="383" t="s">
        <v>198</v>
      </c>
      <c r="B160" s="626" t="s">
        <v>199</v>
      </c>
      <c r="C160" s="626"/>
      <c r="D160" s="384"/>
      <c r="E160" s="386">
        <f>$E$136</f>
        <v>590.42000000000007</v>
      </c>
    </row>
    <row r="161" spans="1:7">
      <c r="A161" s="610" t="s">
        <v>200</v>
      </c>
      <c r="B161" s="610"/>
      <c r="C161" s="610"/>
      <c r="D161" s="303"/>
      <c r="E161" s="387">
        <f>SUM(E156:E160)</f>
        <v>20265.871648484848</v>
      </c>
    </row>
    <row r="162" spans="1:7">
      <c r="A162" s="388" t="s">
        <v>93</v>
      </c>
      <c r="B162" s="633" t="s">
        <v>201</v>
      </c>
      <c r="C162" s="633"/>
      <c r="D162" s="389"/>
      <c r="E162" s="390">
        <f>$E$151</f>
        <v>4192.3843401996983</v>
      </c>
    </row>
    <row r="163" spans="1:7">
      <c r="A163" s="391"/>
      <c r="B163" s="610" t="s">
        <v>202</v>
      </c>
      <c r="C163" s="610"/>
      <c r="D163" s="303"/>
      <c r="E163" s="392">
        <f>(TRUNC($E$161+$E$162,2))</f>
        <v>24458.25</v>
      </c>
    </row>
    <row r="164" spans="1:7">
      <c r="A164" s="391"/>
      <c r="B164" s="610"/>
      <c r="C164" s="610"/>
      <c r="D164" s="303"/>
      <c r="E164" s="392"/>
      <c r="G164" s="393"/>
    </row>
    <row r="166" spans="1:7" ht="39.75" customHeight="1" thickBot="1">
      <c r="A166" s="627" t="s">
        <v>203</v>
      </c>
      <c r="B166" s="627"/>
      <c r="C166" s="627"/>
      <c r="D166" s="627"/>
      <c r="E166" s="627"/>
      <c r="F166" s="302"/>
      <c r="G166" s="302"/>
    </row>
    <row r="167" spans="1:7" ht="48" thickBot="1">
      <c r="A167" s="394" t="s">
        <v>204</v>
      </c>
      <c r="B167" s="395" t="s">
        <v>205</v>
      </c>
      <c r="C167" s="395" t="s">
        <v>206</v>
      </c>
      <c r="D167" s="395" t="s">
        <v>207</v>
      </c>
      <c r="E167" s="396" t="s">
        <v>208</v>
      </c>
      <c r="F167" s="397" t="s">
        <v>209</v>
      </c>
      <c r="G167" s="232"/>
    </row>
    <row r="168" spans="1:7">
      <c r="A168" s="398"/>
      <c r="B168" s="399" t="s">
        <v>210</v>
      </c>
      <c r="C168" s="399" t="s">
        <v>211</v>
      </c>
      <c r="D168" s="399" t="s">
        <v>212</v>
      </c>
      <c r="E168" s="400" t="s">
        <v>213</v>
      </c>
      <c r="F168" s="401" t="s">
        <v>214</v>
      </c>
      <c r="G168" s="402"/>
    </row>
    <row r="169" spans="1:7">
      <c r="A169" s="383" t="s">
        <v>215</v>
      </c>
      <c r="B169" s="403">
        <f>E163/4</f>
        <v>6114.5625</v>
      </c>
      <c r="C169" s="383">
        <v>4</v>
      </c>
      <c r="D169" s="403">
        <f>B169*C169</f>
        <v>24458.25</v>
      </c>
      <c r="E169" s="404">
        <v>6</v>
      </c>
      <c r="F169" s="405">
        <f>E169*D169</f>
        <v>146749.5</v>
      </c>
      <c r="G169" s="406"/>
    </row>
    <row r="171" spans="1:7">
      <c r="A171" s="573" t="s">
        <v>216</v>
      </c>
      <c r="B171" s="573"/>
      <c r="C171" s="573"/>
      <c r="D171" s="573"/>
    </row>
    <row r="172" spans="1:7">
      <c r="A172" s="252"/>
      <c r="B172" s="407" t="s">
        <v>217</v>
      </c>
      <c r="C172" s="628" t="s">
        <v>218</v>
      </c>
      <c r="D172" s="628"/>
    </row>
    <row r="173" spans="1:7">
      <c r="A173" s="408" t="s">
        <v>57</v>
      </c>
      <c r="B173" s="252" t="s">
        <v>219</v>
      </c>
      <c r="C173" s="629">
        <f>E163</f>
        <v>24458.25</v>
      </c>
      <c r="D173" s="629"/>
    </row>
    <row r="174" spans="1:7">
      <c r="A174" s="408" t="s">
        <v>59</v>
      </c>
      <c r="B174" s="252" t="s">
        <v>220</v>
      </c>
      <c r="C174" s="630">
        <f>F169</f>
        <v>146749.5</v>
      </c>
      <c r="D174" s="630"/>
    </row>
    <row r="175" spans="1:7" ht="38.25" customHeight="1">
      <c r="A175" s="408" t="s">
        <v>62</v>
      </c>
      <c r="B175" s="357" t="s">
        <v>221</v>
      </c>
      <c r="C175" s="631">
        <f>(TRUNC(C174*12,2))</f>
        <v>1760994</v>
      </c>
      <c r="D175" s="632"/>
    </row>
    <row r="177" spans="2:2">
      <c r="B177" s="409" t="s">
        <v>54</v>
      </c>
    </row>
  </sheetData>
  <mergeCells count="108">
    <mergeCell ref="A166:E166"/>
    <mergeCell ref="A171:D171"/>
    <mergeCell ref="C172:D172"/>
    <mergeCell ref="C173:D173"/>
    <mergeCell ref="C174:D174"/>
    <mergeCell ref="C175:D175"/>
    <mergeCell ref="B159:C159"/>
    <mergeCell ref="B160:C160"/>
    <mergeCell ref="A161:C161"/>
    <mergeCell ref="B162:C162"/>
    <mergeCell ref="B163:C163"/>
    <mergeCell ref="B164:C164"/>
    <mergeCell ref="A152:B152"/>
    <mergeCell ref="A154:E154"/>
    <mergeCell ref="A155:C155"/>
    <mergeCell ref="B156:C156"/>
    <mergeCell ref="B157:C157"/>
    <mergeCell ref="B158:C158"/>
    <mergeCell ref="A127:D127"/>
    <mergeCell ref="B129:C129"/>
    <mergeCell ref="B136:C136"/>
    <mergeCell ref="A138:E138"/>
    <mergeCell ref="G146:I146"/>
    <mergeCell ref="A151:B151"/>
    <mergeCell ref="B119:C119"/>
    <mergeCell ref="A121:E121"/>
    <mergeCell ref="B122:C122"/>
    <mergeCell ref="B123:C123"/>
    <mergeCell ref="B124:C124"/>
    <mergeCell ref="B125:C125"/>
    <mergeCell ref="B112:C112"/>
    <mergeCell ref="A113:C113"/>
    <mergeCell ref="B114:C114"/>
    <mergeCell ref="A116:E116"/>
    <mergeCell ref="B117:C117"/>
    <mergeCell ref="B118:C118"/>
    <mergeCell ref="B106:C106"/>
    <mergeCell ref="B107:C107"/>
    <mergeCell ref="B108:C108"/>
    <mergeCell ref="B109:C109"/>
    <mergeCell ref="B110:C110"/>
    <mergeCell ref="B111:C111"/>
    <mergeCell ref="B91:C91"/>
    <mergeCell ref="A93:E93"/>
    <mergeCell ref="A101:B101"/>
    <mergeCell ref="A102:E102"/>
    <mergeCell ref="A104:C104"/>
    <mergeCell ref="A105:E105"/>
    <mergeCell ref="A83:D83"/>
    <mergeCell ref="A85:E85"/>
    <mergeCell ref="B86:C86"/>
    <mergeCell ref="B87:C87"/>
    <mergeCell ref="B88:C88"/>
    <mergeCell ref="B89:C89"/>
    <mergeCell ref="A69:D69"/>
    <mergeCell ref="B70:C70"/>
    <mergeCell ref="B76:C76"/>
    <mergeCell ref="B77:C77"/>
    <mergeCell ref="A78:E78"/>
    <mergeCell ref="A79:E79"/>
    <mergeCell ref="B58:C58"/>
    <mergeCell ref="B59:C59"/>
    <mergeCell ref="B60:C60"/>
    <mergeCell ref="B61:C61"/>
    <mergeCell ref="B62:C62"/>
    <mergeCell ref="A63:C63"/>
    <mergeCell ref="B50:C50"/>
    <mergeCell ref="A53:E53"/>
    <mergeCell ref="B54:C54"/>
    <mergeCell ref="B55:C55"/>
    <mergeCell ref="B56:C56"/>
    <mergeCell ref="B57:C57"/>
    <mergeCell ref="B43:C43"/>
    <mergeCell ref="A44:E44"/>
    <mergeCell ref="A45:E45"/>
    <mergeCell ref="B46:C46"/>
    <mergeCell ref="B47:C47"/>
    <mergeCell ref="B48:C48"/>
    <mergeCell ref="C29:E29"/>
    <mergeCell ref="C30:E30"/>
    <mergeCell ref="C31:E31"/>
    <mergeCell ref="C32:E32"/>
    <mergeCell ref="C33:E33"/>
    <mergeCell ref="A35:E35"/>
    <mergeCell ref="D22:E22"/>
    <mergeCell ref="A24:E24"/>
    <mergeCell ref="A25:E25"/>
    <mergeCell ref="A26:E26"/>
    <mergeCell ref="C27:E27"/>
    <mergeCell ref="C28:E28"/>
    <mergeCell ref="B15:D15"/>
    <mergeCell ref="B16:D16"/>
    <mergeCell ref="B17:D17"/>
    <mergeCell ref="B18:D18"/>
    <mergeCell ref="B19:D19"/>
    <mergeCell ref="D21:E21"/>
    <mergeCell ref="A9:E9"/>
    <mergeCell ref="A10:E10"/>
    <mergeCell ref="A11:E11"/>
    <mergeCell ref="A12:E12"/>
    <mergeCell ref="A13:E13"/>
    <mergeCell ref="A14:C14"/>
    <mergeCell ref="B1:E1"/>
    <mergeCell ref="B2:D2"/>
    <mergeCell ref="B3:D3"/>
    <mergeCell ref="B4:E4"/>
    <mergeCell ref="A6:E7"/>
    <mergeCell ref="A8:E8"/>
  </mergeCells>
  <conditionalFormatting sqref="C126:C129">
    <cfRule type="iconSet" priority="1">
      <iconSet iconSet="3Arrows">
        <cfvo type="percent" val="0"/>
        <cfvo type="percent" val="33"/>
        <cfvo type="percent" val="67"/>
      </iconSet>
    </cfRule>
  </conditionalFormatting>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DD1A1-7EB9-45B8-AC9D-430CC55C0343}">
  <sheetPr>
    <tabColor theme="5"/>
  </sheetPr>
  <dimension ref="A1:I177"/>
  <sheetViews>
    <sheetView tabSelected="1" topLeftCell="A94" zoomScale="87" zoomScaleNormal="87" workbookViewId="0">
      <selection activeCell="E170" sqref="E170"/>
    </sheetView>
  </sheetViews>
  <sheetFormatPr defaultColWidth="55.7109375" defaultRowHeight="15.75"/>
  <cols>
    <col min="1" max="1" width="9.140625" style="225" customWidth="1"/>
    <col min="2" max="2" width="73.42578125" style="225" customWidth="1"/>
    <col min="3" max="3" width="18.140625" style="225" customWidth="1"/>
    <col min="4" max="4" width="19.140625" style="225" customWidth="1"/>
    <col min="5" max="5" width="20" style="225" customWidth="1"/>
    <col min="6" max="6" width="15" style="225" customWidth="1"/>
    <col min="7" max="7" width="22" style="225" customWidth="1"/>
    <col min="8" max="8" width="14.85546875" style="225" customWidth="1"/>
    <col min="9" max="9" width="10.5703125" style="225" customWidth="1"/>
    <col min="10" max="234" width="9.140625" style="225" customWidth="1"/>
    <col min="235" max="235" width="3.7109375" style="225" customWidth="1"/>
    <col min="236" max="245" width="55.7109375" style="225"/>
    <col min="246" max="246" width="9.140625" style="225" customWidth="1"/>
    <col min="247" max="247" width="73.42578125" style="225" customWidth="1"/>
    <col min="248" max="248" width="18.140625" style="225" customWidth="1"/>
    <col min="249" max="249" width="19.140625" style="225" customWidth="1"/>
    <col min="250" max="250" width="20" style="225" customWidth="1"/>
    <col min="251" max="251" width="15" style="225" customWidth="1"/>
    <col min="252" max="252" width="12.7109375" style="225" customWidth="1"/>
    <col min="253" max="253" width="64.42578125" style="225" customWidth="1"/>
    <col min="254" max="254" width="47" style="225" customWidth="1"/>
    <col min="255" max="490" width="9.140625" style="225" customWidth="1"/>
    <col min="491" max="491" width="3.7109375" style="225" customWidth="1"/>
    <col min="492" max="501" width="55.7109375" style="225"/>
    <col min="502" max="502" width="9.140625" style="225" customWidth="1"/>
    <col min="503" max="503" width="73.42578125" style="225" customWidth="1"/>
    <col min="504" max="504" width="18.140625" style="225" customWidth="1"/>
    <col min="505" max="505" width="19.140625" style="225" customWidth="1"/>
    <col min="506" max="506" width="20" style="225" customWidth="1"/>
    <col min="507" max="507" width="15" style="225" customWidth="1"/>
    <col min="508" max="508" width="12.7109375" style="225" customWidth="1"/>
    <col min="509" max="509" width="64.42578125" style="225" customWidth="1"/>
    <col min="510" max="510" width="47" style="225" customWidth="1"/>
    <col min="511" max="746" width="9.140625" style="225" customWidth="1"/>
    <col min="747" max="747" width="3.7109375" style="225" customWidth="1"/>
    <col min="748" max="757" width="55.7109375" style="225"/>
    <col min="758" max="758" width="9.140625" style="225" customWidth="1"/>
    <col min="759" max="759" width="73.42578125" style="225" customWidth="1"/>
    <col min="760" max="760" width="18.140625" style="225" customWidth="1"/>
    <col min="761" max="761" width="19.140625" style="225" customWidth="1"/>
    <col min="762" max="762" width="20" style="225" customWidth="1"/>
    <col min="763" max="763" width="15" style="225" customWidth="1"/>
    <col min="764" max="764" width="12.7109375" style="225" customWidth="1"/>
    <col min="765" max="765" width="64.42578125" style="225" customWidth="1"/>
    <col min="766" max="766" width="47" style="225" customWidth="1"/>
    <col min="767" max="1002" width="9.140625" style="225" customWidth="1"/>
    <col min="1003" max="1003" width="3.7109375" style="225" customWidth="1"/>
    <col min="1004" max="1013" width="55.7109375" style="225"/>
    <col min="1014" max="1014" width="9.140625" style="225" customWidth="1"/>
    <col min="1015" max="1015" width="73.42578125" style="225" customWidth="1"/>
    <col min="1016" max="1016" width="18.140625" style="225" customWidth="1"/>
    <col min="1017" max="1017" width="19.140625" style="225" customWidth="1"/>
    <col min="1018" max="1018" width="20" style="225" customWidth="1"/>
    <col min="1019" max="1019" width="15" style="225" customWidth="1"/>
    <col min="1020" max="1020" width="12.7109375" style="225" customWidth="1"/>
    <col min="1021" max="1021" width="64.42578125" style="225" customWidth="1"/>
    <col min="1022" max="1022" width="47" style="225" customWidth="1"/>
    <col min="1023" max="1258" width="9.140625" style="225" customWidth="1"/>
    <col min="1259" max="1259" width="3.7109375" style="225" customWidth="1"/>
    <col min="1260" max="1269" width="55.7109375" style="225"/>
    <col min="1270" max="1270" width="9.140625" style="225" customWidth="1"/>
    <col min="1271" max="1271" width="73.42578125" style="225" customWidth="1"/>
    <col min="1272" max="1272" width="18.140625" style="225" customWidth="1"/>
    <col min="1273" max="1273" width="19.140625" style="225" customWidth="1"/>
    <col min="1274" max="1274" width="20" style="225" customWidth="1"/>
    <col min="1275" max="1275" width="15" style="225" customWidth="1"/>
    <col min="1276" max="1276" width="12.7109375" style="225" customWidth="1"/>
    <col min="1277" max="1277" width="64.42578125" style="225" customWidth="1"/>
    <col min="1278" max="1278" width="47" style="225" customWidth="1"/>
    <col min="1279" max="1514" width="9.140625" style="225" customWidth="1"/>
    <col min="1515" max="1515" width="3.7109375" style="225" customWidth="1"/>
    <col min="1516" max="1525" width="55.7109375" style="225"/>
    <col min="1526" max="1526" width="9.140625" style="225" customWidth="1"/>
    <col min="1527" max="1527" width="73.42578125" style="225" customWidth="1"/>
    <col min="1528" max="1528" width="18.140625" style="225" customWidth="1"/>
    <col min="1529" max="1529" width="19.140625" style="225" customWidth="1"/>
    <col min="1530" max="1530" width="20" style="225" customWidth="1"/>
    <col min="1531" max="1531" width="15" style="225" customWidth="1"/>
    <col min="1532" max="1532" width="12.7109375" style="225" customWidth="1"/>
    <col min="1533" max="1533" width="64.42578125" style="225" customWidth="1"/>
    <col min="1534" max="1534" width="47" style="225" customWidth="1"/>
    <col min="1535" max="1770" width="9.140625" style="225" customWidth="1"/>
    <col min="1771" max="1771" width="3.7109375" style="225" customWidth="1"/>
    <col min="1772" max="1781" width="55.7109375" style="225"/>
    <col min="1782" max="1782" width="9.140625" style="225" customWidth="1"/>
    <col min="1783" max="1783" width="73.42578125" style="225" customWidth="1"/>
    <col min="1784" max="1784" width="18.140625" style="225" customWidth="1"/>
    <col min="1785" max="1785" width="19.140625" style="225" customWidth="1"/>
    <col min="1786" max="1786" width="20" style="225" customWidth="1"/>
    <col min="1787" max="1787" width="15" style="225" customWidth="1"/>
    <col min="1788" max="1788" width="12.7109375" style="225" customWidth="1"/>
    <col min="1789" max="1789" width="64.42578125" style="225" customWidth="1"/>
    <col min="1790" max="1790" width="47" style="225" customWidth="1"/>
    <col min="1791" max="2026" width="9.140625" style="225" customWidth="1"/>
    <col min="2027" max="2027" width="3.7109375" style="225" customWidth="1"/>
    <col min="2028" max="2037" width="55.7109375" style="225"/>
    <col min="2038" max="2038" width="9.140625" style="225" customWidth="1"/>
    <col min="2039" max="2039" width="73.42578125" style="225" customWidth="1"/>
    <col min="2040" max="2040" width="18.140625" style="225" customWidth="1"/>
    <col min="2041" max="2041" width="19.140625" style="225" customWidth="1"/>
    <col min="2042" max="2042" width="20" style="225" customWidth="1"/>
    <col min="2043" max="2043" width="15" style="225" customWidth="1"/>
    <col min="2044" max="2044" width="12.7109375" style="225" customWidth="1"/>
    <col min="2045" max="2045" width="64.42578125" style="225" customWidth="1"/>
    <col min="2046" max="2046" width="47" style="225" customWidth="1"/>
    <col min="2047" max="2282" width="9.140625" style="225" customWidth="1"/>
    <col min="2283" max="2283" width="3.7109375" style="225" customWidth="1"/>
    <col min="2284" max="2293" width="55.7109375" style="225"/>
    <col min="2294" max="2294" width="9.140625" style="225" customWidth="1"/>
    <col min="2295" max="2295" width="73.42578125" style="225" customWidth="1"/>
    <col min="2296" max="2296" width="18.140625" style="225" customWidth="1"/>
    <col min="2297" max="2297" width="19.140625" style="225" customWidth="1"/>
    <col min="2298" max="2298" width="20" style="225" customWidth="1"/>
    <col min="2299" max="2299" width="15" style="225" customWidth="1"/>
    <col min="2300" max="2300" width="12.7109375" style="225" customWidth="1"/>
    <col min="2301" max="2301" width="64.42578125" style="225" customWidth="1"/>
    <col min="2302" max="2302" width="47" style="225" customWidth="1"/>
    <col min="2303" max="2538" width="9.140625" style="225" customWidth="1"/>
    <col min="2539" max="2539" width="3.7109375" style="225" customWidth="1"/>
    <col min="2540" max="2549" width="55.7109375" style="225"/>
    <col min="2550" max="2550" width="9.140625" style="225" customWidth="1"/>
    <col min="2551" max="2551" width="73.42578125" style="225" customWidth="1"/>
    <col min="2552" max="2552" width="18.140625" style="225" customWidth="1"/>
    <col min="2553" max="2553" width="19.140625" style="225" customWidth="1"/>
    <col min="2554" max="2554" width="20" style="225" customWidth="1"/>
    <col min="2555" max="2555" width="15" style="225" customWidth="1"/>
    <col min="2556" max="2556" width="12.7109375" style="225" customWidth="1"/>
    <col min="2557" max="2557" width="64.42578125" style="225" customWidth="1"/>
    <col min="2558" max="2558" width="47" style="225" customWidth="1"/>
    <col min="2559" max="2794" width="9.140625" style="225" customWidth="1"/>
    <col min="2795" max="2795" width="3.7109375" style="225" customWidth="1"/>
    <col min="2796" max="2805" width="55.7109375" style="225"/>
    <col min="2806" max="2806" width="9.140625" style="225" customWidth="1"/>
    <col min="2807" max="2807" width="73.42578125" style="225" customWidth="1"/>
    <col min="2808" max="2808" width="18.140625" style="225" customWidth="1"/>
    <col min="2809" max="2809" width="19.140625" style="225" customWidth="1"/>
    <col min="2810" max="2810" width="20" style="225" customWidth="1"/>
    <col min="2811" max="2811" width="15" style="225" customWidth="1"/>
    <col min="2812" max="2812" width="12.7109375" style="225" customWidth="1"/>
    <col min="2813" max="2813" width="64.42578125" style="225" customWidth="1"/>
    <col min="2814" max="2814" width="47" style="225" customWidth="1"/>
    <col min="2815" max="3050" width="9.140625" style="225" customWidth="1"/>
    <col min="3051" max="3051" width="3.7109375" style="225" customWidth="1"/>
    <col min="3052" max="3061" width="55.7109375" style="225"/>
    <col min="3062" max="3062" width="9.140625" style="225" customWidth="1"/>
    <col min="3063" max="3063" width="73.42578125" style="225" customWidth="1"/>
    <col min="3064" max="3064" width="18.140625" style="225" customWidth="1"/>
    <col min="3065" max="3065" width="19.140625" style="225" customWidth="1"/>
    <col min="3066" max="3066" width="20" style="225" customWidth="1"/>
    <col min="3067" max="3067" width="15" style="225" customWidth="1"/>
    <col min="3068" max="3068" width="12.7109375" style="225" customWidth="1"/>
    <col min="3069" max="3069" width="64.42578125" style="225" customWidth="1"/>
    <col min="3070" max="3070" width="47" style="225" customWidth="1"/>
    <col min="3071" max="3306" width="9.140625" style="225" customWidth="1"/>
    <col min="3307" max="3307" width="3.7109375" style="225" customWidth="1"/>
    <col min="3308" max="3317" width="55.7109375" style="225"/>
    <col min="3318" max="3318" width="9.140625" style="225" customWidth="1"/>
    <col min="3319" max="3319" width="73.42578125" style="225" customWidth="1"/>
    <col min="3320" max="3320" width="18.140625" style="225" customWidth="1"/>
    <col min="3321" max="3321" width="19.140625" style="225" customWidth="1"/>
    <col min="3322" max="3322" width="20" style="225" customWidth="1"/>
    <col min="3323" max="3323" width="15" style="225" customWidth="1"/>
    <col min="3324" max="3324" width="12.7109375" style="225" customWidth="1"/>
    <col min="3325" max="3325" width="64.42578125" style="225" customWidth="1"/>
    <col min="3326" max="3326" width="47" style="225" customWidth="1"/>
    <col min="3327" max="3562" width="9.140625" style="225" customWidth="1"/>
    <col min="3563" max="3563" width="3.7109375" style="225" customWidth="1"/>
    <col min="3564" max="3573" width="55.7109375" style="225"/>
    <col min="3574" max="3574" width="9.140625" style="225" customWidth="1"/>
    <col min="3575" max="3575" width="73.42578125" style="225" customWidth="1"/>
    <col min="3576" max="3576" width="18.140625" style="225" customWidth="1"/>
    <col min="3577" max="3577" width="19.140625" style="225" customWidth="1"/>
    <col min="3578" max="3578" width="20" style="225" customWidth="1"/>
    <col min="3579" max="3579" width="15" style="225" customWidth="1"/>
    <col min="3580" max="3580" width="12.7109375" style="225" customWidth="1"/>
    <col min="3581" max="3581" width="64.42578125" style="225" customWidth="1"/>
    <col min="3582" max="3582" width="47" style="225" customWidth="1"/>
    <col min="3583" max="3818" width="9.140625" style="225" customWidth="1"/>
    <col min="3819" max="3819" width="3.7109375" style="225" customWidth="1"/>
    <col min="3820" max="3829" width="55.7109375" style="225"/>
    <col min="3830" max="3830" width="9.140625" style="225" customWidth="1"/>
    <col min="3831" max="3831" width="73.42578125" style="225" customWidth="1"/>
    <col min="3832" max="3832" width="18.140625" style="225" customWidth="1"/>
    <col min="3833" max="3833" width="19.140625" style="225" customWidth="1"/>
    <col min="3834" max="3834" width="20" style="225" customWidth="1"/>
    <col min="3835" max="3835" width="15" style="225" customWidth="1"/>
    <col min="3836" max="3836" width="12.7109375" style="225" customWidth="1"/>
    <col min="3837" max="3837" width="64.42578125" style="225" customWidth="1"/>
    <col min="3838" max="3838" width="47" style="225" customWidth="1"/>
    <col min="3839" max="4074" width="9.140625" style="225" customWidth="1"/>
    <col min="4075" max="4075" width="3.7109375" style="225" customWidth="1"/>
    <col min="4076" max="4085" width="55.7109375" style="225"/>
    <col min="4086" max="4086" width="9.140625" style="225" customWidth="1"/>
    <col min="4087" max="4087" width="73.42578125" style="225" customWidth="1"/>
    <col min="4088" max="4088" width="18.140625" style="225" customWidth="1"/>
    <col min="4089" max="4089" width="19.140625" style="225" customWidth="1"/>
    <col min="4090" max="4090" width="20" style="225" customWidth="1"/>
    <col min="4091" max="4091" width="15" style="225" customWidth="1"/>
    <col min="4092" max="4092" width="12.7109375" style="225" customWidth="1"/>
    <col min="4093" max="4093" width="64.42578125" style="225" customWidth="1"/>
    <col min="4094" max="4094" width="47" style="225" customWidth="1"/>
    <col min="4095" max="4330" width="9.140625" style="225" customWidth="1"/>
    <col min="4331" max="4331" width="3.7109375" style="225" customWidth="1"/>
    <col min="4332" max="4341" width="55.7109375" style="225"/>
    <col min="4342" max="4342" width="9.140625" style="225" customWidth="1"/>
    <col min="4343" max="4343" width="73.42578125" style="225" customWidth="1"/>
    <col min="4344" max="4344" width="18.140625" style="225" customWidth="1"/>
    <col min="4345" max="4345" width="19.140625" style="225" customWidth="1"/>
    <col min="4346" max="4346" width="20" style="225" customWidth="1"/>
    <col min="4347" max="4347" width="15" style="225" customWidth="1"/>
    <col min="4348" max="4348" width="12.7109375" style="225" customWidth="1"/>
    <col min="4349" max="4349" width="64.42578125" style="225" customWidth="1"/>
    <col min="4350" max="4350" width="47" style="225" customWidth="1"/>
    <col min="4351" max="4586" width="9.140625" style="225" customWidth="1"/>
    <col min="4587" max="4587" width="3.7109375" style="225" customWidth="1"/>
    <col min="4588" max="4597" width="55.7109375" style="225"/>
    <col min="4598" max="4598" width="9.140625" style="225" customWidth="1"/>
    <col min="4599" max="4599" width="73.42578125" style="225" customWidth="1"/>
    <col min="4600" max="4600" width="18.140625" style="225" customWidth="1"/>
    <col min="4601" max="4601" width="19.140625" style="225" customWidth="1"/>
    <col min="4602" max="4602" width="20" style="225" customWidth="1"/>
    <col min="4603" max="4603" width="15" style="225" customWidth="1"/>
    <col min="4604" max="4604" width="12.7109375" style="225" customWidth="1"/>
    <col min="4605" max="4605" width="64.42578125" style="225" customWidth="1"/>
    <col min="4606" max="4606" width="47" style="225" customWidth="1"/>
    <col min="4607" max="4842" width="9.140625" style="225" customWidth="1"/>
    <col min="4843" max="4843" width="3.7109375" style="225" customWidth="1"/>
    <col min="4844" max="4853" width="55.7109375" style="225"/>
    <col min="4854" max="4854" width="9.140625" style="225" customWidth="1"/>
    <col min="4855" max="4855" width="73.42578125" style="225" customWidth="1"/>
    <col min="4856" max="4856" width="18.140625" style="225" customWidth="1"/>
    <col min="4857" max="4857" width="19.140625" style="225" customWidth="1"/>
    <col min="4858" max="4858" width="20" style="225" customWidth="1"/>
    <col min="4859" max="4859" width="15" style="225" customWidth="1"/>
    <col min="4860" max="4860" width="12.7109375" style="225" customWidth="1"/>
    <col min="4861" max="4861" width="64.42578125" style="225" customWidth="1"/>
    <col min="4862" max="4862" width="47" style="225" customWidth="1"/>
    <col min="4863" max="5098" width="9.140625" style="225" customWidth="1"/>
    <col min="5099" max="5099" width="3.7109375" style="225" customWidth="1"/>
    <col min="5100" max="5109" width="55.7109375" style="225"/>
    <col min="5110" max="5110" width="9.140625" style="225" customWidth="1"/>
    <col min="5111" max="5111" width="73.42578125" style="225" customWidth="1"/>
    <col min="5112" max="5112" width="18.140625" style="225" customWidth="1"/>
    <col min="5113" max="5113" width="19.140625" style="225" customWidth="1"/>
    <col min="5114" max="5114" width="20" style="225" customWidth="1"/>
    <col min="5115" max="5115" width="15" style="225" customWidth="1"/>
    <col min="5116" max="5116" width="12.7109375" style="225" customWidth="1"/>
    <col min="5117" max="5117" width="64.42578125" style="225" customWidth="1"/>
    <col min="5118" max="5118" width="47" style="225" customWidth="1"/>
    <col min="5119" max="5354" width="9.140625" style="225" customWidth="1"/>
    <col min="5355" max="5355" width="3.7109375" style="225" customWidth="1"/>
    <col min="5356" max="5365" width="55.7109375" style="225"/>
    <col min="5366" max="5366" width="9.140625" style="225" customWidth="1"/>
    <col min="5367" max="5367" width="73.42578125" style="225" customWidth="1"/>
    <col min="5368" max="5368" width="18.140625" style="225" customWidth="1"/>
    <col min="5369" max="5369" width="19.140625" style="225" customWidth="1"/>
    <col min="5370" max="5370" width="20" style="225" customWidth="1"/>
    <col min="5371" max="5371" width="15" style="225" customWidth="1"/>
    <col min="5372" max="5372" width="12.7109375" style="225" customWidth="1"/>
    <col min="5373" max="5373" width="64.42578125" style="225" customWidth="1"/>
    <col min="5374" max="5374" width="47" style="225" customWidth="1"/>
    <col min="5375" max="5610" width="9.140625" style="225" customWidth="1"/>
    <col min="5611" max="5611" width="3.7109375" style="225" customWidth="1"/>
    <col min="5612" max="5621" width="55.7109375" style="225"/>
    <col min="5622" max="5622" width="9.140625" style="225" customWidth="1"/>
    <col min="5623" max="5623" width="73.42578125" style="225" customWidth="1"/>
    <col min="5624" max="5624" width="18.140625" style="225" customWidth="1"/>
    <col min="5625" max="5625" width="19.140625" style="225" customWidth="1"/>
    <col min="5626" max="5626" width="20" style="225" customWidth="1"/>
    <col min="5627" max="5627" width="15" style="225" customWidth="1"/>
    <col min="5628" max="5628" width="12.7109375" style="225" customWidth="1"/>
    <col min="5629" max="5629" width="64.42578125" style="225" customWidth="1"/>
    <col min="5630" max="5630" width="47" style="225" customWidth="1"/>
    <col min="5631" max="5866" width="9.140625" style="225" customWidth="1"/>
    <col min="5867" max="5867" width="3.7109375" style="225" customWidth="1"/>
    <col min="5868" max="5877" width="55.7109375" style="225"/>
    <col min="5878" max="5878" width="9.140625" style="225" customWidth="1"/>
    <col min="5879" max="5879" width="73.42578125" style="225" customWidth="1"/>
    <col min="5880" max="5880" width="18.140625" style="225" customWidth="1"/>
    <col min="5881" max="5881" width="19.140625" style="225" customWidth="1"/>
    <col min="5882" max="5882" width="20" style="225" customWidth="1"/>
    <col min="5883" max="5883" width="15" style="225" customWidth="1"/>
    <col min="5884" max="5884" width="12.7109375" style="225" customWidth="1"/>
    <col min="5885" max="5885" width="64.42578125" style="225" customWidth="1"/>
    <col min="5886" max="5886" width="47" style="225" customWidth="1"/>
    <col min="5887" max="6122" width="9.140625" style="225" customWidth="1"/>
    <col min="6123" max="6123" width="3.7109375" style="225" customWidth="1"/>
    <col min="6124" max="6133" width="55.7109375" style="225"/>
    <col min="6134" max="6134" width="9.140625" style="225" customWidth="1"/>
    <col min="6135" max="6135" width="73.42578125" style="225" customWidth="1"/>
    <col min="6136" max="6136" width="18.140625" style="225" customWidth="1"/>
    <col min="6137" max="6137" width="19.140625" style="225" customWidth="1"/>
    <col min="6138" max="6138" width="20" style="225" customWidth="1"/>
    <col min="6139" max="6139" width="15" style="225" customWidth="1"/>
    <col min="6140" max="6140" width="12.7109375" style="225" customWidth="1"/>
    <col min="6141" max="6141" width="64.42578125" style="225" customWidth="1"/>
    <col min="6142" max="6142" width="47" style="225" customWidth="1"/>
    <col min="6143" max="6378" width="9.140625" style="225" customWidth="1"/>
    <col min="6379" max="6379" width="3.7109375" style="225" customWidth="1"/>
    <col min="6380" max="6389" width="55.7109375" style="225"/>
    <col min="6390" max="6390" width="9.140625" style="225" customWidth="1"/>
    <col min="6391" max="6391" width="73.42578125" style="225" customWidth="1"/>
    <col min="6392" max="6392" width="18.140625" style="225" customWidth="1"/>
    <col min="6393" max="6393" width="19.140625" style="225" customWidth="1"/>
    <col min="6394" max="6394" width="20" style="225" customWidth="1"/>
    <col min="6395" max="6395" width="15" style="225" customWidth="1"/>
    <col min="6396" max="6396" width="12.7109375" style="225" customWidth="1"/>
    <col min="6397" max="6397" width="64.42578125" style="225" customWidth="1"/>
    <col min="6398" max="6398" width="47" style="225" customWidth="1"/>
    <col min="6399" max="6634" width="9.140625" style="225" customWidth="1"/>
    <col min="6635" max="6635" width="3.7109375" style="225" customWidth="1"/>
    <col min="6636" max="6645" width="55.7109375" style="225"/>
    <col min="6646" max="6646" width="9.140625" style="225" customWidth="1"/>
    <col min="6647" max="6647" width="73.42578125" style="225" customWidth="1"/>
    <col min="6648" max="6648" width="18.140625" style="225" customWidth="1"/>
    <col min="6649" max="6649" width="19.140625" style="225" customWidth="1"/>
    <col min="6650" max="6650" width="20" style="225" customWidth="1"/>
    <col min="6651" max="6651" width="15" style="225" customWidth="1"/>
    <col min="6652" max="6652" width="12.7109375" style="225" customWidth="1"/>
    <col min="6653" max="6653" width="64.42578125" style="225" customWidth="1"/>
    <col min="6654" max="6654" width="47" style="225" customWidth="1"/>
    <col min="6655" max="6890" width="9.140625" style="225" customWidth="1"/>
    <col min="6891" max="6891" width="3.7109375" style="225" customWidth="1"/>
    <col min="6892" max="6901" width="55.7109375" style="225"/>
    <col min="6902" max="6902" width="9.140625" style="225" customWidth="1"/>
    <col min="6903" max="6903" width="73.42578125" style="225" customWidth="1"/>
    <col min="6904" max="6904" width="18.140625" style="225" customWidth="1"/>
    <col min="6905" max="6905" width="19.140625" style="225" customWidth="1"/>
    <col min="6906" max="6906" width="20" style="225" customWidth="1"/>
    <col min="6907" max="6907" width="15" style="225" customWidth="1"/>
    <col min="6908" max="6908" width="12.7109375" style="225" customWidth="1"/>
    <col min="6909" max="6909" width="64.42578125" style="225" customWidth="1"/>
    <col min="6910" max="6910" width="47" style="225" customWidth="1"/>
    <col min="6911" max="7146" width="9.140625" style="225" customWidth="1"/>
    <col min="7147" max="7147" width="3.7109375" style="225" customWidth="1"/>
    <col min="7148" max="7157" width="55.7109375" style="225"/>
    <col min="7158" max="7158" width="9.140625" style="225" customWidth="1"/>
    <col min="7159" max="7159" width="73.42578125" style="225" customWidth="1"/>
    <col min="7160" max="7160" width="18.140625" style="225" customWidth="1"/>
    <col min="7161" max="7161" width="19.140625" style="225" customWidth="1"/>
    <col min="7162" max="7162" width="20" style="225" customWidth="1"/>
    <col min="7163" max="7163" width="15" style="225" customWidth="1"/>
    <col min="7164" max="7164" width="12.7109375" style="225" customWidth="1"/>
    <col min="7165" max="7165" width="64.42578125" style="225" customWidth="1"/>
    <col min="7166" max="7166" width="47" style="225" customWidth="1"/>
    <col min="7167" max="7402" width="9.140625" style="225" customWidth="1"/>
    <col min="7403" max="7403" width="3.7109375" style="225" customWidth="1"/>
    <col min="7404" max="7413" width="55.7109375" style="225"/>
    <col min="7414" max="7414" width="9.140625" style="225" customWidth="1"/>
    <col min="7415" max="7415" width="73.42578125" style="225" customWidth="1"/>
    <col min="7416" max="7416" width="18.140625" style="225" customWidth="1"/>
    <col min="7417" max="7417" width="19.140625" style="225" customWidth="1"/>
    <col min="7418" max="7418" width="20" style="225" customWidth="1"/>
    <col min="7419" max="7419" width="15" style="225" customWidth="1"/>
    <col min="7420" max="7420" width="12.7109375" style="225" customWidth="1"/>
    <col min="7421" max="7421" width="64.42578125" style="225" customWidth="1"/>
    <col min="7422" max="7422" width="47" style="225" customWidth="1"/>
    <col min="7423" max="7658" width="9.140625" style="225" customWidth="1"/>
    <col min="7659" max="7659" width="3.7109375" style="225" customWidth="1"/>
    <col min="7660" max="7669" width="55.7109375" style="225"/>
    <col min="7670" max="7670" width="9.140625" style="225" customWidth="1"/>
    <col min="7671" max="7671" width="73.42578125" style="225" customWidth="1"/>
    <col min="7672" max="7672" width="18.140625" style="225" customWidth="1"/>
    <col min="7673" max="7673" width="19.140625" style="225" customWidth="1"/>
    <col min="7674" max="7674" width="20" style="225" customWidth="1"/>
    <col min="7675" max="7675" width="15" style="225" customWidth="1"/>
    <col min="7676" max="7676" width="12.7109375" style="225" customWidth="1"/>
    <col min="7677" max="7677" width="64.42578125" style="225" customWidth="1"/>
    <col min="7678" max="7678" width="47" style="225" customWidth="1"/>
    <col min="7679" max="7914" width="9.140625" style="225" customWidth="1"/>
    <col min="7915" max="7915" width="3.7109375" style="225" customWidth="1"/>
    <col min="7916" max="7925" width="55.7109375" style="225"/>
    <col min="7926" max="7926" width="9.140625" style="225" customWidth="1"/>
    <col min="7927" max="7927" width="73.42578125" style="225" customWidth="1"/>
    <col min="7928" max="7928" width="18.140625" style="225" customWidth="1"/>
    <col min="7929" max="7929" width="19.140625" style="225" customWidth="1"/>
    <col min="7930" max="7930" width="20" style="225" customWidth="1"/>
    <col min="7931" max="7931" width="15" style="225" customWidth="1"/>
    <col min="7932" max="7932" width="12.7109375" style="225" customWidth="1"/>
    <col min="7933" max="7933" width="64.42578125" style="225" customWidth="1"/>
    <col min="7934" max="7934" width="47" style="225" customWidth="1"/>
    <col min="7935" max="8170" width="9.140625" style="225" customWidth="1"/>
    <col min="8171" max="8171" width="3.7109375" style="225" customWidth="1"/>
    <col min="8172" max="8181" width="55.7109375" style="225"/>
    <col min="8182" max="8182" width="9.140625" style="225" customWidth="1"/>
    <col min="8183" max="8183" width="73.42578125" style="225" customWidth="1"/>
    <col min="8184" max="8184" width="18.140625" style="225" customWidth="1"/>
    <col min="8185" max="8185" width="19.140625" style="225" customWidth="1"/>
    <col min="8186" max="8186" width="20" style="225" customWidth="1"/>
    <col min="8187" max="8187" width="15" style="225" customWidth="1"/>
    <col min="8188" max="8188" width="12.7109375" style="225" customWidth="1"/>
    <col min="8189" max="8189" width="64.42578125" style="225" customWidth="1"/>
    <col min="8190" max="8190" width="47" style="225" customWidth="1"/>
    <col min="8191" max="8426" width="9.140625" style="225" customWidth="1"/>
    <col min="8427" max="8427" width="3.7109375" style="225" customWidth="1"/>
    <col min="8428" max="8437" width="55.7109375" style="225"/>
    <col min="8438" max="8438" width="9.140625" style="225" customWidth="1"/>
    <col min="8439" max="8439" width="73.42578125" style="225" customWidth="1"/>
    <col min="8440" max="8440" width="18.140625" style="225" customWidth="1"/>
    <col min="8441" max="8441" width="19.140625" style="225" customWidth="1"/>
    <col min="8442" max="8442" width="20" style="225" customWidth="1"/>
    <col min="8443" max="8443" width="15" style="225" customWidth="1"/>
    <col min="8444" max="8444" width="12.7109375" style="225" customWidth="1"/>
    <col min="8445" max="8445" width="64.42578125" style="225" customWidth="1"/>
    <col min="8446" max="8446" width="47" style="225" customWidth="1"/>
    <col min="8447" max="8682" width="9.140625" style="225" customWidth="1"/>
    <col min="8683" max="8683" width="3.7109375" style="225" customWidth="1"/>
    <col min="8684" max="8693" width="55.7109375" style="225"/>
    <col min="8694" max="8694" width="9.140625" style="225" customWidth="1"/>
    <col min="8695" max="8695" width="73.42578125" style="225" customWidth="1"/>
    <col min="8696" max="8696" width="18.140625" style="225" customWidth="1"/>
    <col min="8697" max="8697" width="19.140625" style="225" customWidth="1"/>
    <col min="8698" max="8698" width="20" style="225" customWidth="1"/>
    <col min="8699" max="8699" width="15" style="225" customWidth="1"/>
    <col min="8700" max="8700" width="12.7109375" style="225" customWidth="1"/>
    <col min="8701" max="8701" width="64.42578125" style="225" customWidth="1"/>
    <col min="8702" max="8702" width="47" style="225" customWidth="1"/>
    <col min="8703" max="8938" width="9.140625" style="225" customWidth="1"/>
    <col min="8939" max="8939" width="3.7109375" style="225" customWidth="1"/>
    <col min="8940" max="8949" width="55.7109375" style="225"/>
    <col min="8950" max="8950" width="9.140625" style="225" customWidth="1"/>
    <col min="8951" max="8951" width="73.42578125" style="225" customWidth="1"/>
    <col min="8952" max="8952" width="18.140625" style="225" customWidth="1"/>
    <col min="8953" max="8953" width="19.140625" style="225" customWidth="1"/>
    <col min="8954" max="8954" width="20" style="225" customWidth="1"/>
    <col min="8955" max="8955" width="15" style="225" customWidth="1"/>
    <col min="8956" max="8956" width="12.7109375" style="225" customWidth="1"/>
    <col min="8957" max="8957" width="64.42578125" style="225" customWidth="1"/>
    <col min="8958" max="8958" width="47" style="225" customWidth="1"/>
    <col min="8959" max="9194" width="9.140625" style="225" customWidth="1"/>
    <col min="9195" max="9195" width="3.7109375" style="225" customWidth="1"/>
    <col min="9196" max="9205" width="55.7109375" style="225"/>
    <col min="9206" max="9206" width="9.140625" style="225" customWidth="1"/>
    <col min="9207" max="9207" width="73.42578125" style="225" customWidth="1"/>
    <col min="9208" max="9208" width="18.140625" style="225" customWidth="1"/>
    <col min="9209" max="9209" width="19.140625" style="225" customWidth="1"/>
    <col min="9210" max="9210" width="20" style="225" customWidth="1"/>
    <col min="9211" max="9211" width="15" style="225" customWidth="1"/>
    <col min="9212" max="9212" width="12.7109375" style="225" customWidth="1"/>
    <col min="9213" max="9213" width="64.42578125" style="225" customWidth="1"/>
    <col min="9214" max="9214" width="47" style="225" customWidth="1"/>
    <col min="9215" max="9450" width="9.140625" style="225" customWidth="1"/>
    <col min="9451" max="9451" width="3.7109375" style="225" customWidth="1"/>
    <col min="9452" max="9461" width="55.7109375" style="225"/>
    <col min="9462" max="9462" width="9.140625" style="225" customWidth="1"/>
    <col min="9463" max="9463" width="73.42578125" style="225" customWidth="1"/>
    <col min="9464" max="9464" width="18.140625" style="225" customWidth="1"/>
    <col min="9465" max="9465" width="19.140625" style="225" customWidth="1"/>
    <col min="9466" max="9466" width="20" style="225" customWidth="1"/>
    <col min="9467" max="9467" width="15" style="225" customWidth="1"/>
    <col min="9468" max="9468" width="12.7109375" style="225" customWidth="1"/>
    <col min="9469" max="9469" width="64.42578125" style="225" customWidth="1"/>
    <col min="9470" max="9470" width="47" style="225" customWidth="1"/>
    <col min="9471" max="9706" width="9.140625" style="225" customWidth="1"/>
    <col min="9707" max="9707" width="3.7109375" style="225" customWidth="1"/>
    <col min="9708" max="9717" width="55.7109375" style="225"/>
    <col min="9718" max="9718" width="9.140625" style="225" customWidth="1"/>
    <col min="9719" max="9719" width="73.42578125" style="225" customWidth="1"/>
    <col min="9720" max="9720" width="18.140625" style="225" customWidth="1"/>
    <col min="9721" max="9721" width="19.140625" style="225" customWidth="1"/>
    <col min="9722" max="9722" width="20" style="225" customWidth="1"/>
    <col min="9723" max="9723" width="15" style="225" customWidth="1"/>
    <col min="9724" max="9724" width="12.7109375" style="225" customWidth="1"/>
    <col min="9725" max="9725" width="64.42578125" style="225" customWidth="1"/>
    <col min="9726" max="9726" width="47" style="225" customWidth="1"/>
    <col min="9727" max="9962" width="9.140625" style="225" customWidth="1"/>
    <col min="9963" max="9963" width="3.7109375" style="225" customWidth="1"/>
    <col min="9964" max="9973" width="55.7109375" style="225"/>
    <col min="9974" max="9974" width="9.140625" style="225" customWidth="1"/>
    <col min="9975" max="9975" width="73.42578125" style="225" customWidth="1"/>
    <col min="9976" max="9976" width="18.140625" style="225" customWidth="1"/>
    <col min="9977" max="9977" width="19.140625" style="225" customWidth="1"/>
    <col min="9978" max="9978" width="20" style="225" customWidth="1"/>
    <col min="9979" max="9979" width="15" style="225" customWidth="1"/>
    <col min="9980" max="9980" width="12.7109375" style="225" customWidth="1"/>
    <col min="9981" max="9981" width="64.42578125" style="225" customWidth="1"/>
    <col min="9982" max="9982" width="47" style="225" customWidth="1"/>
    <col min="9983" max="10218" width="9.140625" style="225" customWidth="1"/>
    <col min="10219" max="10219" width="3.7109375" style="225" customWidth="1"/>
    <col min="10220" max="10229" width="55.7109375" style="225"/>
    <col min="10230" max="10230" width="9.140625" style="225" customWidth="1"/>
    <col min="10231" max="10231" width="73.42578125" style="225" customWidth="1"/>
    <col min="10232" max="10232" width="18.140625" style="225" customWidth="1"/>
    <col min="10233" max="10233" width="19.140625" style="225" customWidth="1"/>
    <col min="10234" max="10234" width="20" style="225" customWidth="1"/>
    <col min="10235" max="10235" width="15" style="225" customWidth="1"/>
    <col min="10236" max="10236" width="12.7109375" style="225" customWidth="1"/>
    <col min="10237" max="10237" width="64.42578125" style="225" customWidth="1"/>
    <col min="10238" max="10238" width="47" style="225" customWidth="1"/>
    <col min="10239" max="10474" width="9.140625" style="225" customWidth="1"/>
    <col min="10475" max="10475" width="3.7109375" style="225" customWidth="1"/>
    <col min="10476" max="10485" width="55.7109375" style="225"/>
    <col min="10486" max="10486" width="9.140625" style="225" customWidth="1"/>
    <col min="10487" max="10487" width="73.42578125" style="225" customWidth="1"/>
    <col min="10488" max="10488" width="18.140625" style="225" customWidth="1"/>
    <col min="10489" max="10489" width="19.140625" style="225" customWidth="1"/>
    <col min="10490" max="10490" width="20" style="225" customWidth="1"/>
    <col min="10491" max="10491" width="15" style="225" customWidth="1"/>
    <col min="10492" max="10492" width="12.7109375" style="225" customWidth="1"/>
    <col min="10493" max="10493" width="64.42578125" style="225" customWidth="1"/>
    <col min="10494" max="10494" width="47" style="225" customWidth="1"/>
    <col min="10495" max="10730" width="9.140625" style="225" customWidth="1"/>
    <col min="10731" max="10731" width="3.7109375" style="225" customWidth="1"/>
    <col min="10732" max="10741" width="55.7109375" style="225"/>
    <col min="10742" max="10742" width="9.140625" style="225" customWidth="1"/>
    <col min="10743" max="10743" width="73.42578125" style="225" customWidth="1"/>
    <col min="10744" max="10744" width="18.140625" style="225" customWidth="1"/>
    <col min="10745" max="10745" width="19.140625" style="225" customWidth="1"/>
    <col min="10746" max="10746" width="20" style="225" customWidth="1"/>
    <col min="10747" max="10747" width="15" style="225" customWidth="1"/>
    <col min="10748" max="10748" width="12.7109375" style="225" customWidth="1"/>
    <col min="10749" max="10749" width="64.42578125" style="225" customWidth="1"/>
    <col min="10750" max="10750" width="47" style="225" customWidth="1"/>
    <col min="10751" max="10986" width="9.140625" style="225" customWidth="1"/>
    <col min="10987" max="10987" width="3.7109375" style="225" customWidth="1"/>
    <col min="10988" max="10997" width="55.7109375" style="225"/>
    <col min="10998" max="10998" width="9.140625" style="225" customWidth="1"/>
    <col min="10999" max="10999" width="73.42578125" style="225" customWidth="1"/>
    <col min="11000" max="11000" width="18.140625" style="225" customWidth="1"/>
    <col min="11001" max="11001" width="19.140625" style="225" customWidth="1"/>
    <col min="11002" max="11002" width="20" style="225" customWidth="1"/>
    <col min="11003" max="11003" width="15" style="225" customWidth="1"/>
    <col min="11004" max="11004" width="12.7109375" style="225" customWidth="1"/>
    <col min="11005" max="11005" width="64.42578125" style="225" customWidth="1"/>
    <col min="11006" max="11006" width="47" style="225" customWidth="1"/>
    <col min="11007" max="11242" width="9.140625" style="225" customWidth="1"/>
    <col min="11243" max="11243" width="3.7109375" style="225" customWidth="1"/>
    <col min="11244" max="11253" width="55.7109375" style="225"/>
    <col min="11254" max="11254" width="9.140625" style="225" customWidth="1"/>
    <col min="11255" max="11255" width="73.42578125" style="225" customWidth="1"/>
    <col min="11256" max="11256" width="18.140625" style="225" customWidth="1"/>
    <col min="11257" max="11257" width="19.140625" style="225" customWidth="1"/>
    <col min="11258" max="11258" width="20" style="225" customWidth="1"/>
    <col min="11259" max="11259" width="15" style="225" customWidth="1"/>
    <col min="11260" max="11260" width="12.7109375" style="225" customWidth="1"/>
    <col min="11261" max="11261" width="64.42578125" style="225" customWidth="1"/>
    <col min="11262" max="11262" width="47" style="225" customWidth="1"/>
    <col min="11263" max="11498" width="9.140625" style="225" customWidth="1"/>
    <col min="11499" max="11499" width="3.7109375" style="225" customWidth="1"/>
    <col min="11500" max="11509" width="55.7109375" style="225"/>
    <col min="11510" max="11510" width="9.140625" style="225" customWidth="1"/>
    <col min="11511" max="11511" width="73.42578125" style="225" customWidth="1"/>
    <col min="11512" max="11512" width="18.140625" style="225" customWidth="1"/>
    <col min="11513" max="11513" width="19.140625" style="225" customWidth="1"/>
    <col min="11514" max="11514" width="20" style="225" customWidth="1"/>
    <col min="11515" max="11515" width="15" style="225" customWidth="1"/>
    <col min="11516" max="11516" width="12.7109375" style="225" customWidth="1"/>
    <col min="11517" max="11517" width="64.42578125" style="225" customWidth="1"/>
    <col min="11518" max="11518" width="47" style="225" customWidth="1"/>
    <col min="11519" max="11754" width="9.140625" style="225" customWidth="1"/>
    <col min="11755" max="11755" width="3.7109375" style="225" customWidth="1"/>
    <col min="11756" max="11765" width="55.7109375" style="225"/>
    <col min="11766" max="11766" width="9.140625" style="225" customWidth="1"/>
    <col min="11767" max="11767" width="73.42578125" style="225" customWidth="1"/>
    <col min="11768" max="11768" width="18.140625" style="225" customWidth="1"/>
    <col min="11769" max="11769" width="19.140625" style="225" customWidth="1"/>
    <col min="11770" max="11770" width="20" style="225" customWidth="1"/>
    <col min="11771" max="11771" width="15" style="225" customWidth="1"/>
    <col min="11772" max="11772" width="12.7109375" style="225" customWidth="1"/>
    <col min="11773" max="11773" width="64.42578125" style="225" customWidth="1"/>
    <col min="11774" max="11774" width="47" style="225" customWidth="1"/>
    <col min="11775" max="12010" width="9.140625" style="225" customWidth="1"/>
    <col min="12011" max="12011" width="3.7109375" style="225" customWidth="1"/>
    <col min="12012" max="12021" width="55.7109375" style="225"/>
    <col min="12022" max="12022" width="9.140625" style="225" customWidth="1"/>
    <col min="12023" max="12023" width="73.42578125" style="225" customWidth="1"/>
    <col min="12024" max="12024" width="18.140625" style="225" customWidth="1"/>
    <col min="12025" max="12025" width="19.140625" style="225" customWidth="1"/>
    <col min="12026" max="12026" width="20" style="225" customWidth="1"/>
    <col min="12027" max="12027" width="15" style="225" customWidth="1"/>
    <col min="12028" max="12028" width="12.7109375" style="225" customWidth="1"/>
    <col min="12029" max="12029" width="64.42578125" style="225" customWidth="1"/>
    <col min="12030" max="12030" width="47" style="225" customWidth="1"/>
    <col min="12031" max="12266" width="9.140625" style="225" customWidth="1"/>
    <col min="12267" max="12267" width="3.7109375" style="225" customWidth="1"/>
    <col min="12268" max="12277" width="55.7109375" style="225"/>
    <col min="12278" max="12278" width="9.140625" style="225" customWidth="1"/>
    <col min="12279" max="12279" width="73.42578125" style="225" customWidth="1"/>
    <col min="12280" max="12280" width="18.140625" style="225" customWidth="1"/>
    <col min="12281" max="12281" width="19.140625" style="225" customWidth="1"/>
    <col min="12282" max="12282" width="20" style="225" customWidth="1"/>
    <col min="12283" max="12283" width="15" style="225" customWidth="1"/>
    <col min="12284" max="12284" width="12.7109375" style="225" customWidth="1"/>
    <col min="12285" max="12285" width="64.42578125" style="225" customWidth="1"/>
    <col min="12286" max="12286" width="47" style="225" customWidth="1"/>
    <col min="12287" max="12522" width="9.140625" style="225" customWidth="1"/>
    <col min="12523" max="12523" width="3.7109375" style="225" customWidth="1"/>
    <col min="12524" max="12533" width="55.7109375" style="225"/>
    <col min="12534" max="12534" width="9.140625" style="225" customWidth="1"/>
    <col min="12535" max="12535" width="73.42578125" style="225" customWidth="1"/>
    <col min="12536" max="12536" width="18.140625" style="225" customWidth="1"/>
    <col min="12537" max="12537" width="19.140625" style="225" customWidth="1"/>
    <col min="12538" max="12538" width="20" style="225" customWidth="1"/>
    <col min="12539" max="12539" width="15" style="225" customWidth="1"/>
    <col min="12540" max="12540" width="12.7109375" style="225" customWidth="1"/>
    <col min="12541" max="12541" width="64.42578125" style="225" customWidth="1"/>
    <col min="12542" max="12542" width="47" style="225" customWidth="1"/>
    <col min="12543" max="12778" width="9.140625" style="225" customWidth="1"/>
    <col min="12779" max="12779" width="3.7109375" style="225" customWidth="1"/>
    <col min="12780" max="12789" width="55.7109375" style="225"/>
    <col min="12790" max="12790" width="9.140625" style="225" customWidth="1"/>
    <col min="12791" max="12791" width="73.42578125" style="225" customWidth="1"/>
    <col min="12792" max="12792" width="18.140625" style="225" customWidth="1"/>
    <col min="12793" max="12793" width="19.140625" style="225" customWidth="1"/>
    <col min="12794" max="12794" width="20" style="225" customWidth="1"/>
    <col min="12795" max="12795" width="15" style="225" customWidth="1"/>
    <col min="12796" max="12796" width="12.7109375" style="225" customWidth="1"/>
    <col min="12797" max="12797" width="64.42578125" style="225" customWidth="1"/>
    <col min="12798" max="12798" width="47" style="225" customWidth="1"/>
    <col min="12799" max="13034" width="9.140625" style="225" customWidth="1"/>
    <col min="13035" max="13035" width="3.7109375" style="225" customWidth="1"/>
    <col min="13036" max="13045" width="55.7109375" style="225"/>
    <col min="13046" max="13046" width="9.140625" style="225" customWidth="1"/>
    <col min="13047" max="13047" width="73.42578125" style="225" customWidth="1"/>
    <col min="13048" max="13048" width="18.140625" style="225" customWidth="1"/>
    <col min="13049" max="13049" width="19.140625" style="225" customWidth="1"/>
    <col min="13050" max="13050" width="20" style="225" customWidth="1"/>
    <col min="13051" max="13051" width="15" style="225" customWidth="1"/>
    <col min="13052" max="13052" width="12.7109375" style="225" customWidth="1"/>
    <col min="13053" max="13053" width="64.42578125" style="225" customWidth="1"/>
    <col min="13054" max="13054" width="47" style="225" customWidth="1"/>
    <col min="13055" max="13290" width="9.140625" style="225" customWidth="1"/>
    <col min="13291" max="13291" width="3.7109375" style="225" customWidth="1"/>
    <col min="13292" max="13301" width="55.7109375" style="225"/>
    <col min="13302" max="13302" width="9.140625" style="225" customWidth="1"/>
    <col min="13303" max="13303" width="73.42578125" style="225" customWidth="1"/>
    <col min="13304" max="13304" width="18.140625" style="225" customWidth="1"/>
    <col min="13305" max="13305" width="19.140625" style="225" customWidth="1"/>
    <col min="13306" max="13306" width="20" style="225" customWidth="1"/>
    <col min="13307" max="13307" width="15" style="225" customWidth="1"/>
    <col min="13308" max="13308" width="12.7109375" style="225" customWidth="1"/>
    <col min="13309" max="13309" width="64.42578125" style="225" customWidth="1"/>
    <col min="13310" max="13310" width="47" style="225" customWidth="1"/>
    <col min="13311" max="13546" width="9.140625" style="225" customWidth="1"/>
    <col min="13547" max="13547" width="3.7109375" style="225" customWidth="1"/>
    <col min="13548" max="13557" width="55.7109375" style="225"/>
    <col min="13558" max="13558" width="9.140625" style="225" customWidth="1"/>
    <col min="13559" max="13559" width="73.42578125" style="225" customWidth="1"/>
    <col min="13560" max="13560" width="18.140625" style="225" customWidth="1"/>
    <col min="13561" max="13561" width="19.140625" style="225" customWidth="1"/>
    <col min="13562" max="13562" width="20" style="225" customWidth="1"/>
    <col min="13563" max="13563" width="15" style="225" customWidth="1"/>
    <col min="13564" max="13564" width="12.7109375" style="225" customWidth="1"/>
    <col min="13565" max="13565" width="64.42578125" style="225" customWidth="1"/>
    <col min="13566" max="13566" width="47" style="225" customWidth="1"/>
    <col min="13567" max="13802" width="9.140625" style="225" customWidth="1"/>
    <col min="13803" max="13803" width="3.7109375" style="225" customWidth="1"/>
    <col min="13804" max="13813" width="55.7109375" style="225"/>
    <col min="13814" max="13814" width="9.140625" style="225" customWidth="1"/>
    <col min="13815" max="13815" width="73.42578125" style="225" customWidth="1"/>
    <col min="13816" max="13816" width="18.140625" style="225" customWidth="1"/>
    <col min="13817" max="13817" width="19.140625" style="225" customWidth="1"/>
    <col min="13818" max="13818" width="20" style="225" customWidth="1"/>
    <col min="13819" max="13819" width="15" style="225" customWidth="1"/>
    <col min="13820" max="13820" width="12.7109375" style="225" customWidth="1"/>
    <col min="13821" max="13821" width="64.42578125" style="225" customWidth="1"/>
    <col min="13822" max="13822" width="47" style="225" customWidth="1"/>
    <col min="13823" max="14058" width="9.140625" style="225" customWidth="1"/>
    <col min="14059" max="14059" width="3.7109375" style="225" customWidth="1"/>
    <col min="14060" max="14069" width="55.7109375" style="225"/>
    <col min="14070" max="14070" width="9.140625" style="225" customWidth="1"/>
    <col min="14071" max="14071" width="73.42578125" style="225" customWidth="1"/>
    <col min="14072" max="14072" width="18.140625" style="225" customWidth="1"/>
    <col min="14073" max="14073" width="19.140625" style="225" customWidth="1"/>
    <col min="14074" max="14074" width="20" style="225" customWidth="1"/>
    <col min="14075" max="14075" width="15" style="225" customWidth="1"/>
    <col min="14076" max="14076" width="12.7109375" style="225" customWidth="1"/>
    <col min="14077" max="14077" width="64.42578125" style="225" customWidth="1"/>
    <col min="14078" max="14078" width="47" style="225" customWidth="1"/>
    <col min="14079" max="14314" width="9.140625" style="225" customWidth="1"/>
    <col min="14315" max="14315" width="3.7109375" style="225" customWidth="1"/>
    <col min="14316" max="14325" width="55.7109375" style="225"/>
    <col min="14326" max="14326" width="9.140625" style="225" customWidth="1"/>
    <col min="14327" max="14327" width="73.42578125" style="225" customWidth="1"/>
    <col min="14328" max="14328" width="18.140625" style="225" customWidth="1"/>
    <col min="14329" max="14329" width="19.140625" style="225" customWidth="1"/>
    <col min="14330" max="14330" width="20" style="225" customWidth="1"/>
    <col min="14331" max="14331" width="15" style="225" customWidth="1"/>
    <col min="14332" max="14332" width="12.7109375" style="225" customWidth="1"/>
    <col min="14333" max="14333" width="64.42578125" style="225" customWidth="1"/>
    <col min="14334" max="14334" width="47" style="225" customWidth="1"/>
    <col min="14335" max="14570" width="9.140625" style="225" customWidth="1"/>
    <col min="14571" max="14571" width="3.7109375" style="225" customWidth="1"/>
    <col min="14572" max="14581" width="55.7109375" style="225"/>
    <col min="14582" max="14582" width="9.140625" style="225" customWidth="1"/>
    <col min="14583" max="14583" width="73.42578125" style="225" customWidth="1"/>
    <col min="14584" max="14584" width="18.140625" style="225" customWidth="1"/>
    <col min="14585" max="14585" width="19.140625" style="225" customWidth="1"/>
    <col min="14586" max="14586" width="20" style="225" customWidth="1"/>
    <col min="14587" max="14587" width="15" style="225" customWidth="1"/>
    <col min="14588" max="14588" width="12.7109375" style="225" customWidth="1"/>
    <col min="14589" max="14589" width="64.42578125" style="225" customWidth="1"/>
    <col min="14590" max="14590" width="47" style="225" customWidth="1"/>
    <col min="14591" max="14826" width="9.140625" style="225" customWidth="1"/>
    <col min="14827" max="14827" width="3.7109375" style="225" customWidth="1"/>
    <col min="14828" max="14837" width="55.7109375" style="225"/>
    <col min="14838" max="14838" width="9.140625" style="225" customWidth="1"/>
    <col min="14839" max="14839" width="73.42578125" style="225" customWidth="1"/>
    <col min="14840" max="14840" width="18.140625" style="225" customWidth="1"/>
    <col min="14841" max="14841" width="19.140625" style="225" customWidth="1"/>
    <col min="14842" max="14842" width="20" style="225" customWidth="1"/>
    <col min="14843" max="14843" width="15" style="225" customWidth="1"/>
    <col min="14844" max="14844" width="12.7109375" style="225" customWidth="1"/>
    <col min="14845" max="14845" width="64.42578125" style="225" customWidth="1"/>
    <col min="14846" max="14846" width="47" style="225" customWidth="1"/>
    <col min="14847" max="15082" width="9.140625" style="225" customWidth="1"/>
    <col min="15083" max="15083" width="3.7109375" style="225" customWidth="1"/>
    <col min="15084" max="15093" width="55.7109375" style="225"/>
    <col min="15094" max="15094" width="9.140625" style="225" customWidth="1"/>
    <col min="15095" max="15095" width="73.42578125" style="225" customWidth="1"/>
    <col min="15096" max="15096" width="18.140625" style="225" customWidth="1"/>
    <col min="15097" max="15097" width="19.140625" style="225" customWidth="1"/>
    <col min="15098" max="15098" width="20" style="225" customWidth="1"/>
    <col min="15099" max="15099" width="15" style="225" customWidth="1"/>
    <col min="15100" max="15100" width="12.7109375" style="225" customWidth="1"/>
    <col min="15101" max="15101" width="64.42578125" style="225" customWidth="1"/>
    <col min="15102" max="15102" width="47" style="225" customWidth="1"/>
    <col min="15103" max="15338" width="9.140625" style="225" customWidth="1"/>
    <col min="15339" max="15339" width="3.7109375" style="225" customWidth="1"/>
    <col min="15340" max="15349" width="55.7109375" style="225"/>
    <col min="15350" max="15350" width="9.140625" style="225" customWidth="1"/>
    <col min="15351" max="15351" width="73.42578125" style="225" customWidth="1"/>
    <col min="15352" max="15352" width="18.140625" style="225" customWidth="1"/>
    <col min="15353" max="15353" width="19.140625" style="225" customWidth="1"/>
    <col min="15354" max="15354" width="20" style="225" customWidth="1"/>
    <col min="15355" max="15355" width="15" style="225" customWidth="1"/>
    <col min="15356" max="15356" width="12.7109375" style="225" customWidth="1"/>
    <col min="15357" max="15357" width="64.42578125" style="225" customWidth="1"/>
    <col min="15358" max="15358" width="47" style="225" customWidth="1"/>
    <col min="15359" max="15594" width="9.140625" style="225" customWidth="1"/>
    <col min="15595" max="15595" width="3.7109375" style="225" customWidth="1"/>
    <col min="15596" max="15605" width="55.7109375" style="225"/>
    <col min="15606" max="15606" width="9.140625" style="225" customWidth="1"/>
    <col min="15607" max="15607" width="73.42578125" style="225" customWidth="1"/>
    <col min="15608" max="15608" width="18.140625" style="225" customWidth="1"/>
    <col min="15609" max="15609" width="19.140625" style="225" customWidth="1"/>
    <col min="15610" max="15610" width="20" style="225" customWidth="1"/>
    <col min="15611" max="15611" width="15" style="225" customWidth="1"/>
    <col min="15612" max="15612" width="12.7109375" style="225" customWidth="1"/>
    <col min="15613" max="15613" width="64.42578125" style="225" customWidth="1"/>
    <col min="15614" max="15614" width="47" style="225" customWidth="1"/>
    <col min="15615" max="15850" width="9.140625" style="225" customWidth="1"/>
    <col min="15851" max="15851" width="3.7109375" style="225" customWidth="1"/>
    <col min="15852" max="15861" width="55.7109375" style="225"/>
    <col min="15862" max="15862" width="9.140625" style="225" customWidth="1"/>
    <col min="15863" max="15863" width="73.42578125" style="225" customWidth="1"/>
    <col min="15864" max="15864" width="18.140625" style="225" customWidth="1"/>
    <col min="15865" max="15865" width="19.140625" style="225" customWidth="1"/>
    <col min="15866" max="15866" width="20" style="225" customWidth="1"/>
    <col min="15867" max="15867" width="15" style="225" customWidth="1"/>
    <col min="15868" max="15868" width="12.7109375" style="225" customWidth="1"/>
    <col min="15869" max="15869" width="64.42578125" style="225" customWidth="1"/>
    <col min="15870" max="15870" width="47" style="225" customWidth="1"/>
    <col min="15871" max="16106" width="9.140625" style="225" customWidth="1"/>
    <col min="16107" max="16107" width="3.7109375" style="225" customWidth="1"/>
    <col min="16108" max="16117" width="55.7109375" style="225"/>
    <col min="16118" max="16118" width="9.140625" style="225" customWidth="1"/>
    <col min="16119" max="16119" width="73.42578125" style="225" customWidth="1"/>
    <col min="16120" max="16120" width="18.140625" style="225" customWidth="1"/>
    <col min="16121" max="16121" width="19.140625" style="225" customWidth="1"/>
    <col min="16122" max="16122" width="20" style="225" customWidth="1"/>
    <col min="16123" max="16123" width="15" style="225" customWidth="1"/>
    <col min="16124" max="16124" width="12.7109375" style="225" customWidth="1"/>
    <col min="16125" max="16125" width="64.42578125" style="225" customWidth="1"/>
    <col min="16126" max="16126" width="47" style="225" customWidth="1"/>
    <col min="16127" max="16362" width="9.140625" style="225" customWidth="1"/>
    <col min="16363" max="16363" width="3.7109375" style="225" customWidth="1"/>
    <col min="16364" max="16384" width="55.7109375" style="225"/>
  </cols>
  <sheetData>
    <row r="1" spans="1:5">
      <c r="A1" s="226"/>
      <c r="B1" s="544" t="s">
        <v>0</v>
      </c>
      <c r="C1" s="544"/>
      <c r="D1" s="544"/>
      <c r="E1" s="545"/>
    </row>
    <row r="2" spans="1:5">
      <c r="A2" s="227"/>
      <c r="B2" s="546" t="s">
        <v>1</v>
      </c>
      <c r="C2" s="546"/>
      <c r="D2" s="546"/>
      <c r="E2" s="228"/>
    </row>
    <row r="3" spans="1:5">
      <c r="A3" s="227"/>
      <c r="B3" s="546" t="s">
        <v>2</v>
      </c>
      <c r="C3" s="546"/>
      <c r="D3" s="546"/>
      <c r="E3" s="228"/>
    </row>
    <row r="4" spans="1:5">
      <c r="A4" s="227"/>
      <c r="B4" s="541" t="s">
        <v>3</v>
      </c>
      <c r="C4" s="541"/>
      <c r="D4" s="541"/>
      <c r="E4" s="542"/>
    </row>
    <row r="5" spans="1:5" ht="16.5" thickBot="1">
      <c r="A5" s="229"/>
      <c r="B5" s="230"/>
      <c r="C5" s="230"/>
      <c r="D5" s="230"/>
      <c r="E5" s="231"/>
    </row>
    <row r="6" spans="1:5" ht="15" customHeight="1">
      <c r="A6" s="547" t="s">
        <v>55</v>
      </c>
      <c r="B6" s="547"/>
      <c r="C6" s="547"/>
      <c r="D6" s="547"/>
      <c r="E6" s="547"/>
    </row>
    <row r="7" spans="1:5" ht="15.75" customHeight="1">
      <c r="A7" s="547"/>
      <c r="B7" s="547"/>
      <c r="C7" s="547"/>
      <c r="D7" s="547"/>
      <c r="E7" s="547"/>
    </row>
    <row r="8" spans="1:5" ht="15.75" customHeight="1">
      <c r="A8" s="527" t="s">
        <v>4</v>
      </c>
      <c r="B8" s="528"/>
      <c r="C8" s="528"/>
      <c r="D8" s="528"/>
      <c r="E8" s="529"/>
    </row>
    <row r="9" spans="1:5" ht="15.75" customHeight="1">
      <c r="A9" s="527" t="s">
        <v>5</v>
      </c>
      <c r="B9" s="528"/>
      <c r="C9" s="528"/>
      <c r="D9" s="528"/>
      <c r="E9" s="529"/>
    </row>
    <row r="10" spans="1:5" ht="16.5" customHeight="1">
      <c r="A10" s="530" t="s">
        <v>6</v>
      </c>
      <c r="B10" s="530"/>
      <c r="C10" s="530"/>
      <c r="D10" s="530"/>
      <c r="E10" s="530"/>
    </row>
    <row r="11" spans="1:5" ht="16.5" customHeight="1">
      <c r="A11" s="520" t="s">
        <v>7</v>
      </c>
      <c r="B11" s="521"/>
      <c r="C11" s="521"/>
      <c r="D11" s="521"/>
      <c r="E11" s="522"/>
    </row>
    <row r="12" spans="1:5" ht="16.5" customHeight="1">
      <c r="A12" s="520" t="s">
        <v>8</v>
      </c>
      <c r="B12" s="521"/>
      <c r="C12" s="521"/>
      <c r="D12" s="521"/>
      <c r="E12" s="522"/>
    </row>
    <row r="13" spans="1:5" ht="16.5" customHeight="1">
      <c r="A13" s="520" t="s">
        <v>9</v>
      </c>
      <c r="B13" s="521"/>
      <c r="C13" s="521"/>
      <c r="D13" s="521"/>
      <c r="E13" s="522"/>
    </row>
    <row r="14" spans="1:5">
      <c r="A14" s="543" t="s">
        <v>56</v>
      </c>
      <c r="B14" s="543"/>
      <c r="C14" s="543"/>
      <c r="D14" s="234"/>
    </row>
    <row r="15" spans="1:5">
      <c r="A15" s="235" t="s">
        <v>57</v>
      </c>
      <c r="B15" s="557" t="s">
        <v>58</v>
      </c>
      <c r="C15" s="558"/>
      <c r="D15" s="559"/>
      <c r="E15" s="236">
        <v>45162</v>
      </c>
    </row>
    <row r="16" spans="1:5">
      <c r="A16" s="235" t="s">
        <v>59</v>
      </c>
      <c r="B16" s="557" t="s">
        <v>60</v>
      </c>
      <c r="C16" s="558"/>
      <c r="D16" s="559"/>
      <c r="E16" s="237" t="s">
        <v>61</v>
      </c>
    </row>
    <row r="17" spans="1:8" customFormat="1" ht="28.5">
      <c r="A17" s="238" t="s">
        <v>62</v>
      </c>
      <c r="B17" s="560" t="s">
        <v>230</v>
      </c>
      <c r="C17" s="561"/>
      <c r="D17" s="562"/>
      <c r="E17" s="239" t="s">
        <v>450</v>
      </c>
    </row>
    <row r="18" spans="1:8" customFormat="1">
      <c r="A18" s="240" t="s">
        <v>63</v>
      </c>
      <c r="B18" s="563" t="s">
        <v>231</v>
      </c>
      <c r="C18" s="564"/>
      <c r="D18" s="565"/>
      <c r="E18" s="241" t="s">
        <v>31</v>
      </c>
    </row>
    <row r="19" spans="1:8" customFormat="1" ht="58.5" customHeight="1">
      <c r="A19" s="242"/>
      <c r="B19" s="566" t="s">
        <v>452</v>
      </c>
      <c r="C19" s="567"/>
      <c r="D19" s="568"/>
      <c r="E19" s="243" t="s">
        <v>451</v>
      </c>
      <c r="G19" s="486" t="s">
        <v>454</v>
      </c>
    </row>
    <row r="20" spans="1:8">
      <c r="A20" s="244"/>
      <c r="B20" s="245"/>
      <c r="C20" s="245"/>
      <c r="D20" s="245"/>
      <c r="E20" s="246"/>
    </row>
    <row r="21" spans="1:8" ht="31.5">
      <c r="A21" s="247"/>
      <c r="B21" s="248" t="s">
        <v>65</v>
      </c>
      <c r="C21" s="249" t="s">
        <v>66</v>
      </c>
      <c r="D21" s="569" t="s">
        <v>67</v>
      </c>
      <c r="E21" s="570"/>
    </row>
    <row r="22" spans="1:8">
      <c r="A22" s="235"/>
      <c r="B22" s="250" t="s">
        <v>68</v>
      </c>
      <c r="C22" s="251" t="s">
        <v>69</v>
      </c>
      <c r="D22" s="548">
        <v>4</v>
      </c>
      <c r="E22" s="549"/>
    </row>
    <row r="23" spans="1:8">
      <c r="A23" s="235"/>
      <c r="B23" s="250" t="s">
        <v>70</v>
      </c>
      <c r="C23" s="251"/>
      <c r="D23" s="251"/>
      <c r="E23" s="252"/>
    </row>
    <row r="24" spans="1:8">
      <c r="A24" s="543" t="s">
        <v>71</v>
      </c>
      <c r="B24" s="543"/>
      <c r="C24" s="543"/>
      <c r="D24" s="543"/>
      <c r="E24" s="543"/>
    </row>
    <row r="25" spans="1:8" ht="27.75" customHeight="1">
      <c r="A25" s="550" t="s">
        <v>72</v>
      </c>
      <c r="B25" s="550"/>
      <c r="C25" s="550"/>
      <c r="D25" s="550"/>
      <c r="E25" s="550"/>
    </row>
    <row r="26" spans="1:8" ht="27.75" customHeight="1">
      <c r="A26" s="551" t="s">
        <v>73</v>
      </c>
      <c r="B26" s="552"/>
      <c r="C26" s="552"/>
      <c r="D26" s="552"/>
      <c r="E26" s="553"/>
    </row>
    <row r="27" spans="1:8" ht="20.25" customHeight="1">
      <c r="A27" s="235">
        <v>1</v>
      </c>
      <c r="B27" s="253" t="s">
        <v>74</v>
      </c>
      <c r="C27" s="554" t="s">
        <v>75</v>
      </c>
      <c r="D27" s="555"/>
      <c r="E27" s="556"/>
    </row>
    <row r="28" spans="1:8" ht="15" customHeight="1">
      <c r="A28" s="251">
        <v>2</v>
      </c>
      <c r="B28" s="253" t="s">
        <v>76</v>
      </c>
      <c r="C28" s="554" t="s">
        <v>77</v>
      </c>
      <c r="D28" s="554"/>
      <c r="E28" s="554"/>
    </row>
    <row r="29" spans="1:8" ht="15" customHeight="1">
      <c r="A29" s="251">
        <v>3</v>
      </c>
      <c r="B29" s="255" t="s">
        <v>78</v>
      </c>
      <c r="C29" s="578">
        <v>1385.87</v>
      </c>
      <c r="D29" s="579"/>
      <c r="E29" s="579"/>
    </row>
    <row r="30" spans="1:8" ht="15" customHeight="1">
      <c r="A30" s="251">
        <v>4</v>
      </c>
      <c r="B30" s="256" t="s">
        <v>79</v>
      </c>
      <c r="C30" s="580" t="s">
        <v>80</v>
      </c>
      <c r="D30" s="580"/>
      <c r="E30" s="580"/>
    </row>
    <row r="31" spans="1:8" ht="15" customHeight="1">
      <c r="A31" s="251">
        <v>5</v>
      </c>
      <c r="B31" s="256" t="s">
        <v>81</v>
      </c>
      <c r="C31" s="581">
        <v>44562</v>
      </c>
      <c r="D31" s="582"/>
      <c r="E31" s="582"/>
      <c r="H31" s="257"/>
    </row>
    <row r="32" spans="1:8" ht="15" customHeight="1">
      <c r="A32" s="251">
        <v>6</v>
      </c>
      <c r="B32" s="250" t="s">
        <v>82</v>
      </c>
      <c r="C32" s="581" t="s">
        <v>83</v>
      </c>
      <c r="D32" s="582"/>
      <c r="E32" s="582"/>
    </row>
    <row r="33" spans="1:9" ht="15" customHeight="1">
      <c r="A33" s="251">
        <v>7</v>
      </c>
      <c r="B33" s="250" t="s">
        <v>84</v>
      </c>
      <c r="C33" s="581" t="s">
        <v>85</v>
      </c>
      <c r="D33" s="582"/>
      <c r="E33" s="582"/>
    </row>
    <row r="34" spans="1:9" ht="15" customHeight="1">
      <c r="A34" s="258"/>
      <c r="B34" s="259"/>
      <c r="C34" s="260"/>
      <c r="D34" s="261"/>
      <c r="E34" s="261"/>
    </row>
    <row r="35" spans="1:9">
      <c r="A35" s="543" t="s">
        <v>86</v>
      </c>
      <c r="B35" s="543"/>
      <c r="C35" s="543"/>
      <c r="D35" s="543"/>
      <c r="E35" s="543"/>
    </row>
    <row r="36" spans="1:9">
      <c r="A36" s="262">
        <v>1</v>
      </c>
      <c r="B36" s="263" t="s">
        <v>87</v>
      </c>
      <c r="C36" s="264"/>
      <c r="D36" s="265"/>
      <c r="E36" s="262" t="s">
        <v>88</v>
      </c>
    </row>
    <row r="37" spans="1:9">
      <c r="A37" s="254" t="s">
        <v>89</v>
      </c>
      <c r="B37" s="266" t="s">
        <v>239</v>
      </c>
      <c r="C37" s="267">
        <v>4</v>
      </c>
      <c r="D37" s="268">
        <f>'12x36-24H PICOS SAL PS 2023 '!D37</f>
        <v>1617.2</v>
      </c>
      <c r="E37" s="269">
        <f t="shared" ref="E37:E42" si="0">D37*C37</f>
        <v>6468.8</v>
      </c>
    </row>
    <row r="38" spans="1:9">
      <c r="A38" s="254" t="s">
        <v>59</v>
      </c>
      <c r="B38" s="270" t="s">
        <v>90</v>
      </c>
      <c r="C38" s="271">
        <v>0.3</v>
      </c>
      <c r="D38" s="272">
        <f>(D37*30%)</f>
        <v>485.15999999999997</v>
      </c>
      <c r="E38" s="273">
        <f>D38*C37</f>
        <v>1940.6399999999999</v>
      </c>
      <c r="I38" s="257"/>
    </row>
    <row r="39" spans="1:9">
      <c r="A39" s="254" t="s">
        <v>62</v>
      </c>
      <c r="B39" s="270" t="s">
        <v>91</v>
      </c>
      <c r="C39" s="274">
        <v>2</v>
      </c>
      <c r="D39" s="272">
        <f>(D37+D38)/220*0.3*120</f>
        <v>344.02254545454542</v>
      </c>
      <c r="E39" s="273">
        <f t="shared" si="0"/>
        <v>688.04509090909085</v>
      </c>
    </row>
    <row r="40" spans="1:9">
      <c r="A40" s="254" t="s">
        <v>63</v>
      </c>
      <c r="B40" s="270" t="s">
        <v>92</v>
      </c>
      <c r="C40" s="274">
        <v>2</v>
      </c>
      <c r="D40" s="272">
        <f>(D37+D38)/220*1.6*15</f>
        <v>229.34836363636364</v>
      </c>
      <c r="E40" s="273">
        <f t="shared" si="0"/>
        <v>458.69672727272729</v>
      </c>
    </row>
    <row r="41" spans="1:9">
      <c r="A41" s="254" t="s">
        <v>93</v>
      </c>
      <c r="B41" s="270" t="s">
        <v>94</v>
      </c>
      <c r="C41" s="274"/>
      <c r="D41" s="272"/>
      <c r="E41" s="273">
        <f t="shared" si="0"/>
        <v>0</v>
      </c>
    </row>
    <row r="42" spans="1:9">
      <c r="A42" s="254" t="s">
        <v>95</v>
      </c>
      <c r="B42" s="270" t="s">
        <v>96</v>
      </c>
      <c r="C42" s="274"/>
      <c r="D42" s="272"/>
      <c r="E42" s="273">
        <f t="shared" si="0"/>
        <v>0</v>
      </c>
    </row>
    <row r="43" spans="1:9">
      <c r="A43" s="275"/>
      <c r="B43" s="571" t="s">
        <v>97</v>
      </c>
      <c r="C43" s="572"/>
      <c r="D43" s="276"/>
      <c r="E43" s="277">
        <f>SUM(E37:E42)</f>
        <v>9556.181818181818</v>
      </c>
    </row>
    <row r="44" spans="1:9">
      <c r="A44" s="543" t="s">
        <v>98</v>
      </c>
      <c r="B44" s="543"/>
      <c r="C44" s="543"/>
      <c r="D44" s="543"/>
      <c r="E44" s="543"/>
    </row>
    <row r="45" spans="1:9">
      <c r="A45" s="573" t="s">
        <v>99</v>
      </c>
      <c r="B45" s="573"/>
      <c r="C45" s="573"/>
      <c r="D45" s="573"/>
      <c r="E45" s="573"/>
    </row>
    <row r="46" spans="1:9" ht="15.75" customHeight="1">
      <c r="A46" s="278" t="s">
        <v>100</v>
      </c>
      <c r="B46" s="574" t="s">
        <v>101</v>
      </c>
      <c r="C46" s="575"/>
      <c r="D46" s="279" t="s">
        <v>102</v>
      </c>
      <c r="E46" s="280" t="s">
        <v>88</v>
      </c>
    </row>
    <row r="47" spans="1:9" ht="29.25" customHeight="1">
      <c r="A47" s="281" t="s">
        <v>57</v>
      </c>
      <c r="B47" s="576" t="s">
        <v>103</v>
      </c>
      <c r="C47" s="577"/>
      <c r="D47" s="284">
        <v>8.3299999999999999E-2</v>
      </c>
      <c r="E47" s="285">
        <f>(TRUNC($E$43*D47,2))</f>
        <v>796.02</v>
      </c>
    </row>
    <row r="48" spans="1:9">
      <c r="A48" s="281" t="s">
        <v>59</v>
      </c>
      <c r="B48" s="576" t="s">
        <v>104</v>
      </c>
      <c r="C48" s="577"/>
      <c r="D48" s="286">
        <v>0.121</v>
      </c>
      <c r="E48" s="285">
        <f>(TRUNC($E$43*D48,2))</f>
        <v>1156.29</v>
      </c>
    </row>
    <row r="49" spans="1:5">
      <c r="A49" s="281"/>
      <c r="B49" s="282" t="s">
        <v>105</v>
      </c>
      <c r="C49" s="283"/>
      <c r="D49" s="286">
        <f>SUM(D47:D48)</f>
        <v>0.20429999999999998</v>
      </c>
      <c r="E49" s="285">
        <f>SUM(E47:E48)</f>
        <v>1952.31</v>
      </c>
    </row>
    <row r="50" spans="1:5">
      <c r="A50" s="287"/>
      <c r="B50" s="585" t="s">
        <v>106</v>
      </c>
      <c r="C50" s="586"/>
      <c r="D50" s="288">
        <f>D49</f>
        <v>0.20429999999999998</v>
      </c>
      <c r="E50" s="289">
        <f>E49</f>
        <v>1952.31</v>
      </c>
    </row>
    <row r="51" spans="1:5">
      <c r="A51" s="281"/>
      <c r="B51" s="282"/>
      <c r="C51" s="283"/>
      <c r="D51" s="286"/>
      <c r="E51" s="290"/>
    </row>
    <row r="52" spans="1:5" ht="9" customHeight="1">
      <c r="A52" s="234"/>
      <c r="B52" s="234"/>
      <c r="C52" s="234"/>
      <c r="D52" s="234"/>
      <c r="E52" s="234"/>
    </row>
    <row r="53" spans="1:5">
      <c r="A53" s="587" t="s">
        <v>107</v>
      </c>
      <c r="B53" s="588"/>
      <c r="C53" s="588"/>
      <c r="D53" s="588"/>
      <c r="E53" s="588"/>
    </row>
    <row r="54" spans="1:5">
      <c r="A54" s="291" t="s">
        <v>108</v>
      </c>
      <c r="B54" s="584" t="s">
        <v>109</v>
      </c>
      <c r="C54" s="584"/>
      <c r="D54" s="291" t="s">
        <v>102</v>
      </c>
      <c r="E54" s="291" t="s">
        <v>110</v>
      </c>
    </row>
    <row r="55" spans="1:5">
      <c r="A55" s="292" t="s">
        <v>57</v>
      </c>
      <c r="B55" s="583" t="s">
        <v>111</v>
      </c>
      <c r="C55" s="583"/>
      <c r="D55" s="293">
        <v>0.2</v>
      </c>
      <c r="E55" s="294">
        <f t="shared" ref="E55:E62" si="1">(TRUNC(($E$43+$E$50)*D55,2))</f>
        <v>2301.69</v>
      </c>
    </row>
    <row r="56" spans="1:5">
      <c r="A56" s="295" t="s">
        <v>59</v>
      </c>
      <c r="B56" s="583" t="s">
        <v>112</v>
      </c>
      <c r="C56" s="583"/>
      <c r="D56" s="293">
        <v>2.5000000000000001E-2</v>
      </c>
      <c r="E56" s="294">
        <f t="shared" si="1"/>
        <v>287.70999999999998</v>
      </c>
    </row>
    <row r="57" spans="1:5">
      <c r="A57" s="295" t="s">
        <v>62</v>
      </c>
      <c r="B57" s="583" t="s">
        <v>113</v>
      </c>
      <c r="C57" s="583"/>
      <c r="D57" s="293">
        <f>3*1.007%</f>
        <v>3.0209999999999997E-2</v>
      </c>
      <c r="E57" s="294">
        <f t="shared" si="1"/>
        <v>347.67</v>
      </c>
    </row>
    <row r="58" spans="1:5">
      <c r="A58" s="295" t="s">
        <v>63</v>
      </c>
      <c r="B58" s="583" t="s">
        <v>114</v>
      </c>
      <c r="C58" s="583"/>
      <c r="D58" s="293">
        <v>1.4999999999999999E-2</v>
      </c>
      <c r="E58" s="294">
        <f t="shared" si="1"/>
        <v>172.62</v>
      </c>
    </row>
    <row r="59" spans="1:5">
      <c r="A59" s="295" t="s">
        <v>64</v>
      </c>
      <c r="B59" s="583" t="s">
        <v>115</v>
      </c>
      <c r="C59" s="583"/>
      <c r="D59" s="293">
        <v>0.01</v>
      </c>
      <c r="E59" s="294">
        <f t="shared" si="1"/>
        <v>115.08</v>
      </c>
    </row>
    <row r="60" spans="1:5">
      <c r="A60" s="295" t="s">
        <v>93</v>
      </c>
      <c r="B60" s="583" t="s">
        <v>116</v>
      </c>
      <c r="C60" s="583"/>
      <c r="D60" s="293">
        <v>6.0000000000000001E-3</v>
      </c>
      <c r="E60" s="294">
        <f t="shared" si="1"/>
        <v>69.05</v>
      </c>
    </row>
    <row r="61" spans="1:5">
      <c r="A61" s="292" t="s">
        <v>95</v>
      </c>
      <c r="B61" s="583" t="s">
        <v>117</v>
      </c>
      <c r="C61" s="583"/>
      <c r="D61" s="293">
        <v>2E-3</v>
      </c>
      <c r="E61" s="294">
        <f t="shared" si="1"/>
        <v>23.01</v>
      </c>
    </row>
    <row r="62" spans="1:5">
      <c r="A62" s="292" t="s">
        <v>118</v>
      </c>
      <c r="B62" s="583" t="s">
        <v>119</v>
      </c>
      <c r="C62" s="583"/>
      <c r="D62" s="293">
        <v>0.08</v>
      </c>
      <c r="E62" s="294">
        <f t="shared" si="1"/>
        <v>920.67</v>
      </c>
    </row>
    <row r="63" spans="1:5">
      <c r="A63" s="584" t="s">
        <v>120</v>
      </c>
      <c r="B63" s="584"/>
      <c r="C63" s="584"/>
      <c r="D63" s="296">
        <f>SUM(D55:D62)</f>
        <v>0.36821000000000004</v>
      </c>
      <c r="E63" s="297">
        <f>SUM(E55:E62)</f>
        <v>4237.5</v>
      </c>
    </row>
    <row r="64" spans="1:5">
      <c r="A64" s="298" t="s">
        <v>121</v>
      </c>
      <c r="B64" s="299"/>
      <c r="C64" s="299"/>
      <c r="D64" s="299"/>
      <c r="E64" s="300"/>
    </row>
    <row r="65" spans="1:7">
      <c r="A65" s="301" t="s">
        <v>122</v>
      </c>
      <c r="B65" s="300"/>
      <c r="C65" s="300"/>
      <c r="D65" s="300"/>
      <c r="E65" s="300"/>
    </row>
    <row r="66" spans="1:7">
      <c r="A66" s="301" t="s">
        <v>123</v>
      </c>
      <c r="B66" s="300"/>
      <c r="C66" s="300"/>
      <c r="D66" s="300"/>
      <c r="E66" s="300"/>
    </row>
    <row r="67" spans="1:7">
      <c r="A67" s="301" t="s">
        <v>124</v>
      </c>
      <c r="B67" s="300"/>
      <c r="C67" s="300"/>
      <c r="D67" s="300"/>
      <c r="E67" s="300"/>
    </row>
    <row r="68" spans="1:7">
      <c r="A68" s="301"/>
      <c r="B68" s="300"/>
      <c r="C68" s="300"/>
      <c r="D68" s="300"/>
      <c r="E68" s="300"/>
    </row>
    <row r="69" spans="1:7">
      <c r="A69" s="573" t="s">
        <v>125</v>
      </c>
      <c r="B69" s="573"/>
      <c r="C69" s="573"/>
      <c r="D69" s="573"/>
      <c r="E69" s="302"/>
    </row>
    <row r="70" spans="1:7">
      <c r="A70" s="262" t="s">
        <v>126</v>
      </c>
      <c r="B70" s="571" t="s">
        <v>127</v>
      </c>
      <c r="C70" s="572"/>
      <c r="D70" s="265"/>
      <c r="E70" s="303" t="s">
        <v>88</v>
      </c>
    </row>
    <row r="71" spans="1:7" ht="16.5" thickBot="1">
      <c r="A71" s="295" t="s">
        <v>57</v>
      </c>
      <c r="B71" s="304" t="s">
        <v>128</v>
      </c>
      <c r="C71" s="304">
        <v>3.6</v>
      </c>
      <c r="D71" s="305">
        <v>120</v>
      </c>
      <c r="E71" s="306">
        <f>(C71*D71)-E37*6%</f>
        <v>43.872000000000014</v>
      </c>
      <c r="F71" s="307">
        <f>E71/4</f>
        <v>10.968000000000004</v>
      </c>
    </row>
    <row r="72" spans="1:7" ht="21" customHeight="1" thickBot="1">
      <c r="A72" s="295" t="s">
        <v>59</v>
      </c>
      <c r="B72" s="487" t="s">
        <v>129</v>
      </c>
      <c r="C72" s="487">
        <v>4</v>
      </c>
      <c r="D72" s="488">
        <v>553.54</v>
      </c>
      <c r="E72" s="489">
        <f t="shared" ref="E72:E74" si="2">D72*C72</f>
        <v>2214.16</v>
      </c>
    </row>
    <row r="73" spans="1:7" ht="16.5" thickBot="1">
      <c r="A73" s="358" t="s">
        <v>62</v>
      </c>
      <c r="B73" s="308" t="s">
        <v>130</v>
      </c>
      <c r="C73" s="308">
        <v>4</v>
      </c>
      <c r="D73" s="310">
        <f>D37*26*0.002/12</f>
        <v>7.0078666666666676</v>
      </c>
      <c r="E73" s="309">
        <f t="shared" si="2"/>
        <v>28.03146666666667</v>
      </c>
    </row>
    <row r="74" spans="1:7" ht="15" customHeight="1" thickBot="1">
      <c r="A74" s="295" t="s">
        <v>63</v>
      </c>
      <c r="B74" s="304" t="s">
        <v>131</v>
      </c>
      <c r="C74" s="304">
        <v>4</v>
      </c>
      <c r="D74" s="305">
        <f>'12x36-24H PICOS SAL PS 2023 '!D74</f>
        <v>54.97</v>
      </c>
      <c r="E74" s="306">
        <f t="shared" si="2"/>
        <v>219.88</v>
      </c>
    </row>
    <row r="75" spans="1:7" ht="15" customHeight="1" thickBot="1">
      <c r="A75" s="295" t="s">
        <v>64</v>
      </c>
      <c r="B75" s="304" t="s">
        <v>132</v>
      </c>
      <c r="C75" s="304"/>
      <c r="D75" s="312"/>
      <c r="E75" s="313"/>
    </row>
    <row r="76" spans="1:7">
      <c r="A76" s="292"/>
      <c r="B76" s="598"/>
      <c r="C76" s="599"/>
      <c r="E76" s="315" t="s">
        <v>133</v>
      </c>
    </row>
    <row r="77" spans="1:7">
      <c r="A77" s="275"/>
      <c r="B77" s="571" t="s">
        <v>134</v>
      </c>
      <c r="C77" s="572"/>
      <c r="D77" s="276"/>
      <c r="E77" s="316">
        <f>SUM(E71:E76)</f>
        <v>2505.9434666666666</v>
      </c>
    </row>
    <row r="78" spans="1:7" ht="35.25" customHeight="1">
      <c r="A78" s="600" t="s">
        <v>135</v>
      </c>
      <c r="B78" s="600"/>
      <c r="C78" s="600"/>
      <c r="D78" s="600"/>
      <c r="E78" s="600"/>
      <c r="F78" s="317"/>
      <c r="G78" s="317"/>
    </row>
    <row r="79" spans="1:7" customFormat="1" ht="15">
      <c r="A79" s="601" t="s">
        <v>232</v>
      </c>
      <c r="B79" s="602"/>
      <c r="C79" s="602"/>
      <c r="D79" s="602"/>
      <c r="E79" s="603"/>
      <c r="F79" s="318"/>
      <c r="G79" s="318"/>
    </row>
    <row r="80" spans="1:7" customFormat="1" ht="15">
      <c r="A80" s="319" t="s">
        <v>233</v>
      </c>
      <c r="B80" s="319" t="s">
        <v>234</v>
      </c>
      <c r="C80" s="319" t="s">
        <v>235</v>
      </c>
      <c r="D80" s="319" t="s">
        <v>236</v>
      </c>
      <c r="E80" s="319" t="s">
        <v>88</v>
      </c>
      <c r="F80" s="318"/>
      <c r="G80" s="318"/>
    </row>
    <row r="81" spans="1:7" customFormat="1" ht="15">
      <c r="A81" s="320" t="s">
        <v>57</v>
      </c>
      <c r="B81" s="321" t="s">
        <v>237</v>
      </c>
      <c r="C81" s="320">
        <v>2</v>
      </c>
      <c r="D81" s="322">
        <f>(D37+D38)/220*1.5*15</f>
        <v>215.0140909090909</v>
      </c>
      <c r="E81" s="323">
        <f>D81*C81</f>
        <v>430.02818181818179</v>
      </c>
      <c r="F81" s="318"/>
      <c r="G81" s="318"/>
    </row>
    <row r="82" spans="1:7" customFormat="1" ht="15">
      <c r="A82" s="320" t="s">
        <v>59</v>
      </c>
      <c r="B82" s="321" t="s">
        <v>237</v>
      </c>
      <c r="C82" s="320">
        <v>2</v>
      </c>
      <c r="D82" s="322">
        <f>(D37+D38)/220*1.5*15</f>
        <v>215.0140909090909</v>
      </c>
      <c r="E82" s="323">
        <f>D82*C82</f>
        <v>430.02818181818179</v>
      </c>
      <c r="F82" s="318"/>
      <c r="G82" s="318"/>
    </row>
    <row r="83" spans="1:7" customFormat="1" ht="15">
      <c r="A83" s="589" t="s">
        <v>238</v>
      </c>
      <c r="B83" s="590"/>
      <c r="C83" s="590"/>
      <c r="D83" s="591"/>
      <c r="E83" s="324">
        <f>E81+E82</f>
        <v>860.05636363636359</v>
      </c>
      <c r="F83" s="318"/>
      <c r="G83" s="318"/>
    </row>
    <row r="84" spans="1:7" customFormat="1" ht="15">
      <c r="A84" s="325"/>
      <c r="B84" s="326"/>
      <c r="C84" s="326"/>
      <c r="D84" s="327"/>
      <c r="E84" s="328"/>
      <c r="F84" s="318"/>
      <c r="G84" s="318"/>
    </row>
    <row r="85" spans="1:7" ht="15.6" customHeight="1">
      <c r="A85" s="592" t="s">
        <v>136</v>
      </c>
      <c r="B85" s="592"/>
      <c r="C85" s="592"/>
      <c r="D85" s="592"/>
      <c r="E85" s="592"/>
    </row>
    <row r="86" spans="1:7">
      <c r="A86" s="303">
        <v>2</v>
      </c>
      <c r="B86" s="571" t="s">
        <v>137</v>
      </c>
      <c r="C86" s="572"/>
      <c r="D86" s="265"/>
      <c r="E86" s="303" t="s">
        <v>88</v>
      </c>
    </row>
    <row r="87" spans="1:7">
      <c r="A87" s="295" t="s">
        <v>100</v>
      </c>
      <c r="B87" s="593" t="s">
        <v>138</v>
      </c>
      <c r="C87" s="593"/>
      <c r="D87" s="314"/>
      <c r="E87" s="329">
        <f>E50</f>
        <v>1952.31</v>
      </c>
    </row>
    <row r="88" spans="1:7">
      <c r="A88" s="295" t="s">
        <v>108</v>
      </c>
      <c r="B88" s="594" t="s">
        <v>109</v>
      </c>
      <c r="C88" s="595"/>
      <c r="D88" s="314"/>
      <c r="E88" s="329">
        <f>$E$63</f>
        <v>4237.5</v>
      </c>
    </row>
    <row r="89" spans="1:7">
      <c r="A89" s="295" t="s">
        <v>126</v>
      </c>
      <c r="B89" s="596" t="s">
        <v>139</v>
      </c>
      <c r="C89" s="597"/>
      <c r="D89" s="314"/>
      <c r="E89" s="329">
        <f>$E$77</f>
        <v>2505.9434666666666</v>
      </c>
    </row>
    <row r="90" spans="1:7">
      <c r="A90" s="295" t="s">
        <v>233</v>
      </c>
      <c r="B90" s="331" t="s">
        <v>234</v>
      </c>
      <c r="C90" s="332"/>
      <c r="D90" s="314"/>
      <c r="E90" s="329">
        <f>E83</f>
        <v>860.05636363636359</v>
      </c>
    </row>
    <row r="91" spans="1:7">
      <c r="A91" s="333"/>
      <c r="B91" s="610" t="s">
        <v>106</v>
      </c>
      <c r="C91" s="610"/>
      <c r="D91" s="276"/>
      <c r="E91" s="334">
        <f>SUM(E87:E90)</f>
        <v>9555.8098303030292</v>
      </c>
    </row>
    <row r="92" spans="1:7" ht="9" customHeight="1">
      <c r="A92" s="335"/>
      <c r="B92" s="336"/>
      <c r="C92" s="336"/>
      <c r="D92" s="336"/>
      <c r="E92" s="337"/>
    </row>
    <row r="93" spans="1:7" ht="15.75" customHeight="1">
      <c r="A93" s="611" t="s">
        <v>140</v>
      </c>
      <c r="B93" s="611"/>
      <c r="C93" s="611"/>
      <c r="D93" s="611"/>
      <c r="E93" s="611"/>
      <c r="G93" s="338" t="e">
        <f>#REF!+D63+D101+D113</f>
        <v>#REF!</v>
      </c>
    </row>
    <row r="94" spans="1:7">
      <c r="A94" s="291">
        <v>3</v>
      </c>
      <c r="B94" s="339" t="s">
        <v>141</v>
      </c>
      <c r="C94" s="265"/>
      <c r="D94" s="291" t="s">
        <v>102</v>
      </c>
      <c r="E94" s="291" t="s">
        <v>142</v>
      </c>
    </row>
    <row r="95" spans="1:7" ht="18" customHeight="1">
      <c r="A95" s="494" t="s">
        <v>57</v>
      </c>
      <c r="B95" s="495" t="s">
        <v>143</v>
      </c>
      <c r="C95" s="496"/>
      <c r="D95" s="497">
        <v>4.2000000000000002E-4</v>
      </c>
      <c r="E95" s="498">
        <f t="shared" ref="E95:E100" si="3">(TRUNC($E$43*D95,2))</f>
        <v>4.01</v>
      </c>
    </row>
    <row r="96" spans="1:7" ht="18" customHeight="1">
      <c r="A96" s="295" t="s">
        <v>59</v>
      </c>
      <c r="B96" s="341" t="s">
        <v>144</v>
      </c>
      <c r="C96" s="314"/>
      <c r="D96" s="293">
        <f>D95*8%</f>
        <v>3.3600000000000004E-5</v>
      </c>
      <c r="E96" s="340">
        <f t="shared" si="3"/>
        <v>0.32</v>
      </c>
    </row>
    <row r="97" spans="1:7" ht="18" customHeight="1">
      <c r="A97" s="292" t="s">
        <v>62</v>
      </c>
      <c r="B97" s="342" t="s">
        <v>145</v>
      </c>
      <c r="C97" s="314"/>
      <c r="D97" s="293">
        <v>2E-3</v>
      </c>
      <c r="E97" s="340">
        <f t="shared" si="3"/>
        <v>19.11</v>
      </c>
    </row>
    <row r="98" spans="1:7" ht="18" customHeight="1">
      <c r="A98" s="491" t="s">
        <v>63</v>
      </c>
      <c r="B98" s="499" t="s">
        <v>146</v>
      </c>
      <c r="C98" s="496"/>
      <c r="D98" s="497">
        <v>1.9400000000000001E-3</v>
      </c>
      <c r="E98" s="498">
        <f t="shared" si="3"/>
        <v>18.53</v>
      </c>
    </row>
    <row r="99" spans="1:7" ht="18" customHeight="1">
      <c r="A99" s="343" t="s">
        <v>64</v>
      </c>
      <c r="B99" s="330" t="s">
        <v>147</v>
      </c>
      <c r="C99" s="314"/>
      <c r="D99" s="344">
        <f>D98*D63</f>
        <v>7.1432740000000009E-4</v>
      </c>
      <c r="E99" s="340">
        <f t="shared" si="3"/>
        <v>6.82</v>
      </c>
    </row>
    <row r="100" spans="1:7" ht="18" customHeight="1">
      <c r="A100" s="295" t="s">
        <v>93</v>
      </c>
      <c r="B100" s="342" t="s">
        <v>148</v>
      </c>
      <c r="C100" s="314"/>
      <c r="D100" s="345">
        <v>3.7999999999999999E-2</v>
      </c>
      <c r="E100" s="340">
        <f t="shared" si="3"/>
        <v>363.13</v>
      </c>
    </row>
    <row r="101" spans="1:7">
      <c r="A101" s="612" t="s">
        <v>120</v>
      </c>
      <c r="B101" s="613"/>
      <c r="C101" s="276"/>
      <c r="D101" s="296">
        <f>SUM(D95:D100)</f>
        <v>4.3107927399999996E-2</v>
      </c>
      <c r="E101" s="346">
        <f>SUM(E95:E100)</f>
        <v>411.92</v>
      </c>
      <c r="G101" s="347">
        <f>D113+D101+D63+D50</f>
        <v>0.63043692740000001</v>
      </c>
    </row>
    <row r="102" spans="1:7" ht="32.25" customHeight="1">
      <c r="A102" s="614" t="s">
        <v>149</v>
      </c>
      <c r="B102" s="614"/>
      <c r="C102" s="614"/>
      <c r="D102" s="614"/>
      <c r="E102" s="614"/>
    </row>
    <row r="103" spans="1:7">
      <c r="A103" s="335"/>
      <c r="B103" s="336"/>
      <c r="C103" s="336"/>
      <c r="D103" s="336"/>
      <c r="E103" s="337"/>
    </row>
    <row r="104" spans="1:7" ht="15.75" customHeight="1">
      <c r="A104" s="611" t="s">
        <v>150</v>
      </c>
      <c r="B104" s="611"/>
      <c r="C104" s="611"/>
      <c r="D104" s="348"/>
      <c r="E104" s="349">
        <f>E101+E77+E63+E50+E43</f>
        <v>18663.855284848483</v>
      </c>
    </row>
    <row r="105" spans="1:7" ht="15.75" customHeight="1">
      <c r="A105" s="615" t="s">
        <v>151</v>
      </c>
      <c r="B105" s="615"/>
      <c r="C105" s="615"/>
      <c r="D105" s="615"/>
      <c r="E105" s="615"/>
    </row>
    <row r="106" spans="1:7" ht="31.5" customHeight="1">
      <c r="A106" s="350" t="s">
        <v>152</v>
      </c>
      <c r="B106" s="604" t="s">
        <v>153</v>
      </c>
      <c r="C106" s="605"/>
      <c r="D106" s="350" t="s">
        <v>102</v>
      </c>
      <c r="E106" s="350" t="s">
        <v>142</v>
      </c>
    </row>
    <row r="107" spans="1:7" ht="30" customHeight="1">
      <c r="A107" s="292" t="s">
        <v>57</v>
      </c>
      <c r="B107" s="576" t="s">
        <v>154</v>
      </c>
      <c r="C107" s="577"/>
      <c r="D107" s="293">
        <v>9.2589999999999999E-3</v>
      </c>
      <c r="E107" s="340">
        <f t="shared" ref="E107:E112" si="4">(TRUNC($E$104*D107,2))</f>
        <v>172.8</v>
      </c>
    </row>
    <row r="108" spans="1:7" ht="15.75" customHeight="1">
      <c r="A108" s="295" t="s">
        <v>59</v>
      </c>
      <c r="B108" s="606" t="s">
        <v>155</v>
      </c>
      <c r="C108" s="607"/>
      <c r="D108" s="293">
        <v>5.5599999999999998E-3</v>
      </c>
      <c r="E108" s="340">
        <f t="shared" si="4"/>
        <v>103.77</v>
      </c>
    </row>
    <row r="109" spans="1:7" ht="15.75" customHeight="1">
      <c r="A109" s="494" t="s">
        <v>62</v>
      </c>
      <c r="B109" s="608" t="s">
        <v>156</v>
      </c>
      <c r="C109" s="609"/>
      <c r="D109" s="500">
        <v>0</v>
      </c>
      <c r="E109" s="498">
        <f t="shared" si="4"/>
        <v>0</v>
      </c>
    </row>
    <row r="110" spans="1:7" ht="15.75" customHeight="1">
      <c r="A110" s="491" t="s">
        <v>63</v>
      </c>
      <c r="B110" s="608" t="s">
        <v>157</v>
      </c>
      <c r="C110" s="609"/>
      <c r="D110" s="500">
        <v>0</v>
      </c>
      <c r="E110" s="498">
        <f t="shared" si="4"/>
        <v>0</v>
      </c>
    </row>
    <row r="111" spans="1:7" ht="15.75" customHeight="1">
      <c r="A111" s="494" t="s">
        <v>64</v>
      </c>
      <c r="B111" s="608" t="s">
        <v>158</v>
      </c>
      <c r="C111" s="609"/>
      <c r="D111" s="500">
        <v>0</v>
      </c>
      <c r="E111" s="498">
        <f t="shared" si="4"/>
        <v>0</v>
      </c>
    </row>
    <row r="112" spans="1:7" ht="15.75" customHeight="1">
      <c r="A112" s="295" t="s">
        <v>93</v>
      </c>
      <c r="B112" s="619" t="s">
        <v>159</v>
      </c>
      <c r="C112" s="620"/>
      <c r="D112" s="293">
        <v>0</v>
      </c>
      <c r="E112" s="340">
        <f t="shared" si="4"/>
        <v>0</v>
      </c>
    </row>
    <row r="113" spans="1:5" ht="15.75" customHeight="1">
      <c r="A113" s="612" t="s">
        <v>41</v>
      </c>
      <c r="B113" s="613"/>
      <c r="C113" s="621"/>
      <c r="D113" s="351">
        <f>SUM(D107:D112)</f>
        <v>1.4818999999999999E-2</v>
      </c>
      <c r="E113" s="346">
        <f>SUM(E107:E112)</f>
        <v>276.57</v>
      </c>
    </row>
    <row r="114" spans="1:5" ht="15.75" customHeight="1">
      <c r="A114" s="352"/>
      <c r="B114" s="622"/>
      <c r="C114" s="623"/>
      <c r="D114" s="353"/>
      <c r="E114" s="354"/>
    </row>
    <row r="115" spans="1:5">
      <c r="A115" s="355"/>
      <c r="B115" s="356"/>
      <c r="C115" s="356"/>
      <c r="D115" s="356"/>
      <c r="E115" s="356"/>
    </row>
    <row r="116" spans="1:5" ht="15.75" customHeight="1">
      <c r="A116" s="615" t="s">
        <v>160</v>
      </c>
      <c r="B116" s="615"/>
      <c r="C116" s="615"/>
      <c r="D116" s="615"/>
      <c r="E116" s="624"/>
    </row>
    <row r="117" spans="1:5">
      <c r="A117" s="303" t="s">
        <v>161</v>
      </c>
      <c r="B117" s="571" t="s">
        <v>162</v>
      </c>
      <c r="C117" s="572"/>
      <c r="D117" s="265"/>
      <c r="E117" s="303" t="s">
        <v>88</v>
      </c>
    </row>
    <row r="118" spans="1:5" ht="27" customHeight="1">
      <c r="A118" s="254" t="s">
        <v>57</v>
      </c>
      <c r="B118" s="618" t="s">
        <v>163</v>
      </c>
      <c r="C118" s="618"/>
      <c r="D118" s="314"/>
      <c r="E118" s="315"/>
    </row>
    <row r="119" spans="1:5">
      <c r="A119" s="333"/>
      <c r="B119" s="610" t="s">
        <v>106</v>
      </c>
      <c r="C119" s="610"/>
      <c r="D119" s="276"/>
      <c r="E119" s="334">
        <f>SUM(E118:E118)</f>
        <v>0</v>
      </c>
    </row>
    <row r="120" spans="1:5">
      <c r="A120" s="355"/>
      <c r="B120" s="356"/>
      <c r="C120" s="356"/>
      <c r="D120" s="356"/>
      <c r="E120" s="356"/>
    </row>
    <row r="121" spans="1:5" ht="15.75" customHeight="1">
      <c r="A121" s="617" t="s">
        <v>164</v>
      </c>
      <c r="B121" s="617"/>
      <c r="C121" s="617"/>
      <c r="D121" s="617"/>
      <c r="E121" s="611"/>
    </row>
    <row r="122" spans="1:5">
      <c r="A122" s="303">
        <v>4</v>
      </c>
      <c r="B122" s="571" t="s">
        <v>165</v>
      </c>
      <c r="C122" s="572"/>
      <c r="D122" s="265"/>
      <c r="E122" s="303" t="s">
        <v>88</v>
      </c>
    </row>
    <row r="123" spans="1:5">
      <c r="A123" s="295" t="s">
        <v>152</v>
      </c>
      <c r="B123" s="593" t="s">
        <v>166</v>
      </c>
      <c r="C123" s="593"/>
      <c r="D123" s="314"/>
      <c r="E123" s="329">
        <f>$E$113</f>
        <v>276.57</v>
      </c>
    </row>
    <row r="124" spans="1:5">
      <c r="A124" s="254" t="s">
        <v>161</v>
      </c>
      <c r="B124" s="618" t="s">
        <v>167</v>
      </c>
      <c r="C124" s="618"/>
      <c r="D124" s="314"/>
      <c r="E124" s="329">
        <f>$E$119</f>
        <v>0</v>
      </c>
    </row>
    <row r="125" spans="1:5">
      <c r="A125" s="333"/>
      <c r="B125" s="610" t="s">
        <v>106</v>
      </c>
      <c r="C125" s="610"/>
      <c r="D125" s="276"/>
      <c r="E125" s="316">
        <f>SUM(E123:E124)</f>
        <v>276.57</v>
      </c>
    </row>
    <row r="126" spans="1:5" ht="7.5" customHeight="1">
      <c r="A126" s="234"/>
      <c r="B126" s="234"/>
      <c r="C126" s="234"/>
      <c r="D126" s="234"/>
      <c r="E126" s="234"/>
    </row>
    <row r="127" spans="1:5">
      <c r="A127" s="543" t="s">
        <v>168</v>
      </c>
      <c r="B127" s="543"/>
      <c r="C127" s="543"/>
      <c r="D127" s="543"/>
      <c r="E127" s="302"/>
    </row>
    <row r="128" spans="1:5" ht="9" customHeight="1">
      <c r="A128" s="234"/>
      <c r="B128" s="234"/>
      <c r="C128" s="234"/>
      <c r="D128" s="234"/>
      <c r="E128" s="234"/>
    </row>
    <row r="129" spans="1:8">
      <c r="A129" s="303">
        <v>5</v>
      </c>
      <c r="B129" s="571" t="s">
        <v>169</v>
      </c>
      <c r="C129" s="572"/>
      <c r="D129" s="265"/>
      <c r="E129" s="303" t="s">
        <v>88</v>
      </c>
    </row>
    <row r="130" spans="1:8">
      <c r="A130" s="295" t="s">
        <v>57</v>
      </c>
      <c r="B130" s="411" t="s">
        <v>170</v>
      </c>
      <c r="C130" s="252">
        <v>4</v>
      </c>
      <c r="D130" s="412">
        <v>102.33</v>
      </c>
      <c r="E130" s="413">
        <f t="shared" ref="E130:E135" si="5">D130*C130</f>
        <v>409.32</v>
      </c>
    </row>
    <row r="131" spans="1:8">
      <c r="A131" s="295" t="s">
        <v>59</v>
      </c>
      <c r="B131" s="411" t="s">
        <v>171</v>
      </c>
      <c r="C131" s="252">
        <v>0</v>
      </c>
      <c r="D131" s="412"/>
      <c r="E131" s="413">
        <f t="shared" si="5"/>
        <v>0</v>
      </c>
    </row>
    <row r="132" spans="1:8">
      <c r="A132" s="295" t="s">
        <v>62</v>
      </c>
      <c r="B132" s="330" t="s">
        <v>172</v>
      </c>
      <c r="C132" s="252">
        <v>4</v>
      </c>
      <c r="D132" s="412">
        <v>5</v>
      </c>
      <c r="E132" s="413">
        <f t="shared" si="5"/>
        <v>20</v>
      </c>
    </row>
    <row r="133" spans="1:8">
      <c r="A133" s="295" t="s">
        <v>63</v>
      </c>
      <c r="B133" s="330" t="s">
        <v>173</v>
      </c>
      <c r="C133" s="252">
        <v>1</v>
      </c>
      <c r="D133" s="412">
        <v>102.77</v>
      </c>
      <c r="E133" s="413">
        <f t="shared" si="5"/>
        <v>102.77</v>
      </c>
    </row>
    <row r="134" spans="1:8">
      <c r="A134" s="295" t="s">
        <v>64</v>
      </c>
      <c r="B134" s="411" t="s">
        <v>174</v>
      </c>
      <c r="C134" s="252">
        <v>1</v>
      </c>
      <c r="D134" s="412">
        <v>58.33</v>
      </c>
      <c r="E134" s="413">
        <f t="shared" si="5"/>
        <v>58.33</v>
      </c>
    </row>
    <row r="135" spans="1:8">
      <c r="A135" s="295" t="s">
        <v>93</v>
      </c>
      <c r="B135" s="411" t="s">
        <v>175</v>
      </c>
      <c r="C135" s="252">
        <v>0</v>
      </c>
      <c r="D135" s="412"/>
      <c r="E135" s="413">
        <f t="shared" si="5"/>
        <v>0</v>
      </c>
    </row>
    <row r="136" spans="1:8">
      <c r="A136" s="333"/>
      <c r="B136" s="610" t="s">
        <v>106</v>
      </c>
      <c r="C136" s="610"/>
      <c r="D136" s="276"/>
      <c r="E136" s="414">
        <f>SUM(E130:E135)</f>
        <v>590.42000000000007</v>
      </c>
    </row>
    <row r="137" spans="1:8" ht="9" customHeight="1">
      <c r="A137" s="234"/>
      <c r="B137" s="234"/>
      <c r="C137" s="234"/>
      <c r="D137" s="234"/>
      <c r="E137" s="234"/>
    </row>
    <row r="138" spans="1:8">
      <c r="A138" s="611" t="s">
        <v>176</v>
      </c>
      <c r="B138" s="611"/>
      <c r="C138" s="611"/>
      <c r="D138" s="611"/>
      <c r="E138" s="611"/>
    </row>
    <row r="139" spans="1:8" ht="9.75" customHeight="1">
      <c r="A139" s="234"/>
      <c r="B139" s="234"/>
      <c r="C139" s="234"/>
      <c r="D139" s="234"/>
      <c r="E139" s="234"/>
    </row>
    <row r="140" spans="1:8">
      <c r="A140" s="303">
        <v>6</v>
      </c>
      <c r="B140" s="264" t="s">
        <v>177</v>
      </c>
      <c r="C140" s="265"/>
      <c r="D140" s="291" t="s">
        <v>102</v>
      </c>
      <c r="E140" s="303" t="s">
        <v>178</v>
      </c>
    </row>
    <row r="141" spans="1:8">
      <c r="A141" s="359" t="s">
        <v>57</v>
      </c>
      <c r="B141" s="360" t="s">
        <v>179</v>
      </c>
      <c r="C141" s="314"/>
      <c r="D141" s="361">
        <v>5.5E-2</v>
      </c>
      <c r="E141" s="362">
        <f>($E$43+$E$91+$E$101+$E$125+$E$136)*D141</f>
        <v>1121.4995906666666</v>
      </c>
      <c r="H141" s="363"/>
    </row>
    <row r="142" spans="1:8">
      <c r="A142" s="359" t="s">
        <v>59</v>
      </c>
      <c r="B142" s="364" t="s">
        <v>180</v>
      </c>
      <c r="C142" s="314"/>
      <c r="D142" s="365">
        <v>4.4999999999999998E-2</v>
      </c>
      <c r="E142" s="362">
        <f>($E$43+$E$91+$E$101+$E$125+$E$136+$E$141)*D142</f>
        <v>968.05805576181808</v>
      </c>
    </row>
    <row r="143" spans="1:8">
      <c r="A143" s="359" t="s">
        <v>62</v>
      </c>
      <c r="B143" s="366" t="s">
        <v>181</v>
      </c>
      <c r="C143" s="314"/>
      <c r="D143" s="367"/>
      <c r="E143" s="368"/>
    </row>
    <row r="144" spans="1:8">
      <c r="A144" s="369"/>
      <c r="B144" s="370" t="s">
        <v>182</v>
      </c>
      <c r="C144" s="314"/>
      <c r="D144" s="371"/>
      <c r="E144" s="372"/>
    </row>
    <row r="145" spans="1:9">
      <c r="A145" s="295"/>
      <c r="B145" s="373" t="s">
        <v>183</v>
      </c>
      <c r="C145" s="314"/>
      <c r="D145" s="365">
        <v>0.03</v>
      </c>
      <c r="E145" s="362">
        <f>($E$43+$E$91+$E$101+$E$125+$E$136+$E$141+$E$142)/C152*D145</f>
        <v>738.2745252845101</v>
      </c>
    </row>
    <row r="146" spans="1:9">
      <c r="A146" s="295"/>
      <c r="B146" s="373" t="s">
        <v>184</v>
      </c>
      <c r="C146" s="314"/>
      <c r="D146" s="365">
        <v>6.4999999999999997E-3</v>
      </c>
      <c r="E146" s="362">
        <f>($E$43+$E$91+$E$101+$E$125+$E$136+$E$141+$E$142)/C152*D146</f>
        <v>159.95948047831052</v>
      </c>
      <c r="G146" s="616" t="s">
        <v>185</v>
      </c>
      <c r="H146" s="616"/>
      <c r="I146" s="616"/>
    </row>
    <row r="147" spans="1:9">
      <c r="A147" s="369"/>
      <c r="B147" s="370" t="s">
        <v>186</v>
      </c>
      <c r="C147" s="314"/>
      <c r="D147" s="374"/>
      <c r="E147" s="375"/>
    </row>
    <row r="148" spans="1:9">
      <c r="A148" s="295"/>
      <c r="B148" s="373" t="s">
        <v>187</v>
      </c>
      <c r="C148" s="314"/>
      <c r="D148" s="365">
        <v>0.05</v>
      </c>
      <c r="E148" s="362">
        <f>($E$43+$E$91+$E$101+$E$125+$E$136+$E$141+$E$142)/C152*D148</f>
        <v>1230.4575421408504</v>
      </c>
      <c r="G148" s="376">
        <f>E141+E142+E136+E123+E104</f>
        <v>21620.402931276967</v>
      </c>
    </row>
    <row r="149" spans="1:9">
      <c r="A149" s="377"/>
      <c r="B149" s="370" t="s">
        <v>188</v>
      </c>
      <c r="C149" s="314"/>
      <c r="D149" s="374"/>
      <c r="E149" s="375"/>
      <c r="G149" s="376">
        <f>G148/(1-D151)</f>
        <v>23667.655097183324</v>
      </c>
    </row>
    <row r="150" spans="1:9">
      <c r="A150" s="295"/>
      <c r="B150" s="378" t="s">
        <v>189</v>
      </c>
      <c r="C150" s="314"/>
      <c r="D150" s="365">
        <v>0</v>
      </c>
      <c r="E150" s="362">
        <f>($E$43+$E$91+$E$101+$E$125+$E$136+$E$141+$E$142)/C152*D150</f>
        <v>0</v>
      </c>
      <c r="G150" s="376">
        <f>G149-G148</f>
        <v>2047.2521659063568</v>
      </c>
      <c r="H150" s="376"/>
    </row>
    <row r="151" spans="1:9">
      <c r="A151" s="612" t="s">
        <v>190</v>
      </c>
      <c r="B151" s="613"/>
      <c r="C151" s="276"/>
      <c r="D151" s="379">
        <f>$D$145+$D$146+$D$148+$D$150</f>
        <v>8.6499999999999994E-2</v>
      </c>
      <c r="E151" s="380">
        <f>E141+E142+E145+E146+E148+E150</f>
        <v>4218.2491943321556</v>
      </c>
    </row>
    <row r="152" spans="1:9" s="224" customFormat="1">
      <c r="A152" s="625" t="s">
        <v>191</v>
      </c>
      <c r="B152" s="625"/>
      <c r="C152" s="381">
        <f>1-(D151/100%)</f>
        <v>0.91349999999999998</v>
      </c>
      <c r="D152" s="381"/>
      <c r="E152" s="382"/>
    </row>
    <row r="153" spans="1:9" ht="6" customHeight="1">
      <c r="A153" s="234"/>
      <c r="B153" s="234"/>
      <c r="C153" s="234"/>
      <c r="D153" s="234"/>
      <c r="E153" s="234"/>
    </row>
    <row r="154" spans="1:9">
      <c r="A154" s="573" t="s">
        <v>192</v>
      </c>
      <c r="B154" s="573"/>
      <c r="C154" s="573"/>
      <c r="D154" s="573"/>
      <c r="E154" s="573"/>
    </row>
    <row r="155" spans="1:9">
      <c r="A155" s="610" t="s">
        <v>193</v>
      </c>
      <c r="B155" s="610"/>
      <c r="C155" s="610"/>
      <c r="D155" s="303"/>
      <c r="E155" s="303" t="s">
        <v>178</v>
      </c>
    </row>
    <row r="156" spans="1:9">
      <c r="A156" s="383" t="s">
        <v>57</v>
      </c>
      <c r="B156" s="626" t="s">
        <v>194</v>
      </c>
      <c r="C156" s="626"/>
      <c r="D156" s="384"/>
      <c r="E156" s="385">
        <f>$E$43</f>
        <v>9556.181818181818</v>
      </c>
      <c r="H156" s="363"/>
    </row>
    <row r="157" spans="1:9">
      <c r="A157" s="383" t="s">
        <v>59</v>
      </c>
      <c r="B157" s="626" t="s">
        <v>195</v>
      </c>
      <c r="C157" s="626"/>
      <c r="D157" s="384"/>
      <c r="E157" s="385">
        <f>$E$91</f>
        <v>9555.8098303030292</v>
      </c>
      <c r="H157" s="363"/>
    </row>
    <row r="158" spans="1:9">
      <c r="A158" s="383" t="s">
        <v>62</v>
      </c>
      <c r="B158" s="626" t="s">
        <v>196</v>
      </c>
      <c r="C158" s="626"/>
      <c r="D158" s="384"/>
      <c r="E158" s="385">
        <f>$E$101</f>
        <v>411.92</v>
      </c>
    </row>
    <row r="159" spans="1:9">
      <c r="A159" s="383" t="s">
        <v>63</v>
      </c>
      <c r="B159" s="626" t="s">
        <v>197</v>
      </c>
      <c r="C159" s="626"/>
      <c r="D159" s="384"/>
      <c r="E159" s="386">
        <f>$E$125</f>
        <v>276.57</v>
      </c>
    </row>
    <row r="160" spans="1:9">
      <c r="A160" s="383" t="s">
        <v>198</v>
      </c>
      <c r="B160" s="626" t="s">
        <v>199</v>
      </c>
      <c r="C160" s="626"/>
      <c r="D160" s="384"/>
      <c r="E160" s="386">
        <f>$E$136</f>
        <v>590.42000000000007</v>
      </c>
    </row>
    <row r="161" spans="1:7">
      <c r="A161" s="610" t="s">
        <v>200</v>
      </c>
      <c r="B161" s="610"/>
      <c r="C161" s="610"/>
      <c r="D161" s="303"/>
      <c r="E161" s="387">
        <f>SUM(E156:E160)</f>
        <v>20390.901648484847</v>
      </c>
    </row>
    <row r="162" spans="1:7">
      <c r="A162" s="388" t="s">
        <v>93</v>
      </c>
      <c r="B162" s="633" t="s">
        <v>201</v>
      </c>
      <c r="C162" s="633"/>
      <c r="D162" s="389"/>
      <c r="E162" s="390">
        <f>$E$151</f>
        <v>4218.2491943321556</v>
      </c>
    </row>
    <row r="163" spans="1:7">
      <c r="A163" s="391"/>
      <c r="B163" s="610" t="s">
        <v>202</v>
      </c>
      <c r="C163" s="610"/>
      <c r="D163" s="303"/>
      <c r="E163" s="392">
        <f>(TRUNC($E$161+$E$162,2))</f>
        <v>24609.15</v>
      </c>
    </row>
    <row r="164" spans="1:7">
      <c r="A164" s="391"/>
      <c r="B164" s="610"/>
      <c r="C164" s="610"/>
      <c r="D164" s="303"/>
      <c r="E164" s="392"/>
      <c r="G164" s="393"/>
    </row>
    <row r="166" spans="1:7" ht="39.75" customHeight="1" thickBot="1">
      <c r="A166" s="627" t="s">
        <v>203</v>
      </c>
      <c r="B166" s="627"/>
      <c r="C166" s="627"/>
      <c r="D166" s="627"/>
      <c r="E166" s="627"/>
      <c r="F166" s="302"/>
      <c r="G166" s="302"/>
    </row>
    <row r="167" spans="1:7" ht="48" thickBot="1">
      <c r="A167" s="394" t="s">
        <v>204</v>
      </c>
      <c r="B167" s="395" t="s">
        <v>205</v>
      </c>
      <c r="C167" s="395" t="s">
        <v>206</v>
      </c>
      <c r="D167" s="395" t="s">
        <v>207</v>
      </c>
      <c r="E167" s="396" t="s">
        <v>208</v>
      </c>
      <c r="F167" s="397" t="s">
        <v>209</v>
      </c>
      <c r="G167" s="232"/>
    </row>
    <row r="168" spans="1:7">
      <c r="A168" s="398"/>
      <c r="B168" s="399" t="s">
        <v>210</v>
      </c>
      <c r="C168" s="399" t="s">
        <v>211</v>
      </c>
      <c r="D168" s="399" t="s">
        <v>212</v>
      </c>
      <c r="E168" s="400" t="s">
        <v>213</v>
      </c>
      <c r="F168" s="401" t="s">
        <v>214</v>
      </c>
      <c r="G168" s="402"/>
    </row>
    <row r="169" spans="1:7">
      <c r="A169" s="383" t="s">
        <v>215</v>
      </c>
      <c r="B169" s="403">
        <f>E163/4</f>
        <v>6152.2875000000004</v>
      </c>
      <c r="C169" s="383">
        <v>4</v>
      </c>
      <c r="D169" s="403">
        <f>B169*C169</f>
        <v>24609.15</v>
      </c>
      <c r="E169" s="404">
        <v>6</v>
      </c>
      <c r="F169" s="405">
        <f>E169*D169</f>
        <v>147654.90000000002</v>
      </c>
      <c r="G169" s="406"/>
    </row>
    <row r="171" spans="1:7">
      <c r="A171" s="573" t="s">
        <v>216</v>
      </c>
      <c r="B171" s="573"/>
      <c r="C171" s="573"/>
      <c r="D171" s="573"/>
    </row>
    <row r="172" spans="1:7">
      <c r="A172" s="252"/>
      <c r="B172" s="407" t="s">
        <v>217</v>
      </c>
      <c r="C172" s="628" t="s">
        <v>218</v>
      </c>
      <c r="D172" s="628"/>
    </row>
    <row r="173" spans="1:7">
      <c r="A173" s="408" t="s">
        <v>57</v>
      </c>
      <c r="B173" s="252" t="s">
        <v>219</v>
      </c>
      <c r="C173" s="629">
        <f>E163</f>
        <v>24609.15</v>
      </c>
      <c r="D173" s="629"/>
    </row>
    <row r="174" spans="1:7">
      <c r="A174" s="408" t="s">
        <v>59</v>
      </c>
      <c r="B174" s="252" t="s">
        <v>220</v>
      </c>
      <c r="C174" s="630">
        <f>F169</f>
        <v>147654.90000000002</v>
      </c>
      <c r="D174" s="630"/>
    </row>
    <row r="175" spans="1:7" ht="38.25" customHeight="1">
      <c r="A175" s="408" t="s">
        <v>62</v>
      </c>
      <c r="B175" s="357" t="s">
        <v>221</v>
      </c>
      <c r="C175" s="631">
        <f>(TRUNC(C174*12,2))</f>
        <v>1771858.8</v>
      </c>
      <c r="D175" s="632"/>
    </row>
    <row r="177" spans="2:2">
      <c r="B177" s="409" t="s">
        <v>54</v>
      </c>
    </row>
  </sheetData>
  <mergeCells count="108">
    <mergeCell ref="A166:E166"/>
    <mergeCell ref="A171:D171"/>
    <mergeCell ref="C172:D172"/>
    <mergeCell ref="C173:D173"/>
    <mergeCell ref="C174:D174"/>
    <mergeCell ref="C175:D175"/>
    <mergeCell ref="B159:C159"/>
    <mergeCell ref="B160:C160"/>
    <mergeCell ref="A161:C161"/>
    <mergeCell ref="B162:C162"/>
    <mergeCell ref="B163:C163"/>
    <mergeCell ref="B164:C164"/>
    <mergeCell ref="A152:B152"/>
    <mergeCell ref="A154:E154"/>
    <mergeCell ref="A155:C155"/>
    <mergeCell ref="B156:C156"/>
    <mergeCell ref="B157:C157"/>
    <mergeCell ref="B158:C158"/>
    <mergeCell ref="A127:D127"/>
    <mergeCell ref="B129:C129"/>
    <mergeCell ref="B136:C136"/>
    <mergeCell ref="A138:E138"/>
    <mergeCell ref="G146:I146"/>
    <mergeCell ref="A151:B151"/>
    <mergeCell ref="B119:C119"/>
    <mergeCell ref="A121:E121"/>
    <mergeCell ref="B122:C122"/>
    <mergeCell ref="B123:C123"/>
    <mergeCell ref="B124:C124"/>
    <mergeCell ref="B125:C125"/>
    <mergeCell ref="B112:C112"/>
    <mergeCell ref="A113:C113"/>
    <mergeCell ref="B114:C114"/>
    <mergeCell ref="A116:E116"/>
    <mergeCell ref="B117:C117"/>
    <mergeCell ref="B118:C118"/>
    <mergeCell ref="B106:C106"/>
    <mergeCell ref="B107:C107"/>
    <mergeCell ref="B108:C108"/>
    <mergeCell ref="B109:C109"/>
    <mergeCell ref="B110:C110"/>
    <mergeCell ref="B111:C111"/>
    <mergeCell ref="B91:C91"/>
    <mergeCell ref="A93:E93"/>
    <mergeCell ref="A101:B101"/>
    <mergeCell ref="A102:E102"/>
    <mergeCell ref="A104:C104"/>
    <mergeCell ref="A105:E105"/>
    <mergeCell ref="A83:D83"/>
    <mergeCell ref="A85:E85"/>
    <mergeCell ref="B86:C86"/>
    <mergeCell ref="B87:C87"/>
    <mergeCell ref="B88:C88"/>
    <mergeCell ref="B89:C89"/>
    <mergeCell ref="A69:D69"/>
    <mergeCell ref="B70:C70"/>
    <mergeCell ref="B76:C76"/>
    <mergeCell ref="B77:C77"/>
    <mergeCell ref="A78:E78"/>
    <mergeCell ref="A79:E79"/>
    <mergeCell ref="B58:C58"/>
    <mergeCell ref="B59:C59"/>
    <mergeCell ref="B60:C60"/>
    <mergeCell ref="B61:C61"/>
    <mergeCell ref="B62:C62"/>
    <mergeCell ref="A63:C63"/>
    <mergeCell ref="B50:C50"/>
    <mergeCell ref="A53:E53"/>
    <mergeCell ref="B54:C54"/>
    <mergeCell ref="B55:C55"/>
    <mergeCell ref="B56:C56"/>
    <mergeCell ref="B57:C57"/>
    <mergeCell ref="B43:C43"/>
    <mergeCell ref="A44:E44"/>
    <mergeCell ref="A45:E45"/>
    <mergeCell ref="B46:C46"/>
    <mergeCell ref="B47:C47"/>
    <mergeCell ref="B48:C48"/>
    <mergeCell ref="C29:E29"/>
    <mergeCell ref="C30:E30"/>
    <mergeCell ref="C31:E31"/>
    <mergeCell ref="C32:E32"/>
    <mergeCell ref="C33:E33"/>
    <mergeCell ref="A35:E35"/>
    <mergeCell ref="D22:E22"/>
    <mergeCell ref="A24:E24"/>
    <mergeCell ref="A25:E25"/>
    <mergeCell ref="A26:E26"/>
    <mergeCell ref="C27:E27"/>
    <mergeCell ref="C28:E28"/>
    <mergeCell ref="B15:D15"/>
    <mergeCell ref="B16:D16"/>
    <mergeCell ref="B17:D17"/>
    <mergeCell ref="B18:D18"/>
    <mergeCell ref="B19:D19"/>
    <mergeCell ref="D21:E21"/>
    <mergeCell ref="A9:E9"/>
    <mergeCell ref="A10:E10"/>
    <mergeCell ref="A11:E11"/>
    <mergeCell ref="A12:E12"/>
    <mergeCell ref="A13:E13"/>
    <mergeCell ref="A14:C14"/>
    <mergeCell ref="B1:E1"/>
    <mergeCell ref="B2:D2"/>
    <mergeCell ref="B3:D3"/>
    <mergeCell ref="B4:E4"/>
    <mergeCell ref="A6:E7"/>
    <mergeCell ref="A8:E8"/>
  </mergeCells>
  <conditionalFormatting sqref="C126:C129">
    <cfRule type="iconSet" priority="1">
      <iconSet iconSet="3Arrows">
        <cfvo type="percent" val="0"/>
        <cfvo type="percent" val="33"/>
        <cfvo type="percent" val="67"/>
      </iconSet>
    </cfRule>
  </conditionalFormatting>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D430D-395C-4057-8E38-6B7D5DB31E2E}">
  <sheetPr>
    <tabColor rgb="FFFFFF00"/>
  </sheetPr>
  <dimension ref="A1:O19"/>
  <sheetViews>
    <sheetView topLeftCell="A10" zoomScale="80" zoomScaleNormal="80" workbookViewId="0">
      <selection activeCell="H23" sqref="H23"/>
    </sheetView>
  </sheetViews>
  <sheetFormatPr defaultColWidth="9.140625" defaultRowHeight="15"/>
  <cols>
    <col min="1" max="1" width="30.140625" style="216" customWidth="1"/>
    <col min="2" max="2" width="11.42578125" style="216" customWidth="1"/>
    <col min="3" max="3" width="10.7109375" style="216" customWidth="1"/>
    <col min="4" max="4" width="12" style="216" customWidth="1"/>
    <col min="5" max="5" width="20" style="216" customWidth="1"/>
    <col min="6" max="6" width="18.85546875" style="216" customWidth="1"/>
    <col min="7" max="7" width="22.42578125" style="216" customWidth="1"/>
    <col min="8" max="8" width="30.7109375" style="216" customWidth="1"/>
    <col min="9" max="9" width="16.42578125" style="216" customWidth="1"/>
    <col min="10" max="10" width="16.28515625" style="216" bestFit="1" customWidth="1"/>
    <col min="11" max="14" width="9.140625" style="216"/>
    <col min="15" max="15" width="16" style="216" customWidth="1"/>
    <col min="16" max="16384" width="9.140625" style="216"/>
  </cols>
  <sheetData>
    <row r="1" spans="1:15" ht="45.75" customHeight="1">
      <c r="A1" s="635" t="s">
        <v>460</v>
      </c>
      <c r="B1" s="636"/>
      <c r="C1" s="636"/>
      <c r="D1" s="636"/>
      <c r="E1" s="636"/>
      <c r="F1" s="636"/>
      <c r="G1" s="636"/>
      <c r="H1" s="636"/>
    </row>
    <row r="2" spans="1:15" ht="15.75">
      <c r="A2" s="637" t="s">
        <v>222</v>
      </c>
      <c r="B2" s="637"/>
      <c r="C2" s="637"/>
      <c r="D2" s="637"/>
      <c r="E2" s="637"/>
      <c r="F2" s="637"/>
      <c r="G2" s="637"/>
      <c r="H2" s="638"/>
    </row>
    <row r="3" spans="1:15" ht="78.75">
      <c r="A3" s="217" t="s">
        <v>223</v>
      </c>
      <c r="B3" s="217" t="s">
        <v>224</v>
      </c>
      <c r="C3" s="217" t="s">
        <v>225</v>
      </c>
      <c r="D3" s="217" t="s">
        <v>226</v>
      </c>
      <c r="E3" s="217" t="s">
        <v>227</v>
      </c>
      <c r="F3" s="503" t="s">
        <v>461</v>
      </c>
      <c r="G3" s="503" t="s">
        <v>462</v>
      </c>
      <c r="H3" s="501" t="s">
        <v>459</v>
      </c>
      <c r="O3" s="223">
        <v>62046.78</v>
      </c>
    </row>
    <row r="4" spans="1:15" s="215" customFormat="1" ht="36" customHeight="1">
      <c r="A4" s="509" t="s">
        <v>228</v>
      </c>
      <c r="B4" s="509" t="s">
        <v>229</v>
      </c>
      <c r="C4" s="510">
        <v>6</v>
      </c>
      <c r="D4" s="510">
        <v>4</v>
      </c>
      <c r="E4" s="510">
        <f>C4*D4</f>
        <v>24</v>
      </c>
      <c r="F4" s="504">
        <f>'12x36-24H PICOS SAL PS 2023 '!E163</f>
        <v>24458.25</v>
      </c>
      <c r="G4" s="505">
        <f>'12x36-24H PICOS SAL PS 2023 '!F169</f>
        <v>146749.5</v>
      </c>
      <c r="H4" s="505">
        <f>G4/30*60</f>
        <v>293499</v>
      </c>
      <c r="O4" s="223">
        <v>307896.45</v>
      </c>
    </row>
    <row r="5" spans="1:15" ht="15.75">
      <c r="A5" s="511"/>
      <c r="B5" s="511"/>
      <c r="C5" s="511"/>
      <c r="D5" s="511"/>
      <c r="E5" s="511"/>
      <c r="F5" s="511"/>
      <c r="G5" s="511"/>
      <c r="H5" s="511"/>
      <c r="O5" s="223">
        <v>620467.80000000005</v>
      </c>
    </row>
    <row r="6" spans="1:15" ht="15.75">
      <c r="A6" s="511"/>
      <c r="B6" s="511"/>
      <c r="C6" s="511"/>
      <c r="D6" s="511"/>
      <c r="E6" s="511"/>
      <c r="F6" s="511"/>
      <c r="G6" s="511"/>
      <c r="H6" s="511"/>
      <c r="O6" s="223"/>
    </row>
    <row r="7" spans="1:15" ht="15.75">
      <c r="A7" s="511"/>
      <c r="B7" s="511"/>
      <c r="C7" s="511"/>
      <c r="D7" s="511"/>
      <c r="E7" s="511"/>
      <c r="F7" s="511"/>
      <c r="G7" s="511"/>
      <c r="H7" s="511"/>
      <c r="O7" s="216">
        <f>SUM(O3:O5)</f>
        <v>990411.03</v>
      </c>
    </row>
    <row r="8" spans="1:15" ht="48.75" customHeight="1">
      <c r="A8" s="635" t="s">
        <v>463</v>
      </c>
      <c r="B8" s="635"/>
      <c r="C8" s="635"/>
      <c r="D8" s="635"/>
      <c r="E8" s="635"/>
      <c r="F8" s="635"/>
      <c r="G8" s="635"/>
      <c r="H8" s="635"/>
    </row>
    <row r="9" spans="1:15" ht="15.75">
      <c r="A9" s="639" t="s">
        <v>455</v>
      </c>
      <c r="B9" s="639"/>
      <c r="C9" s="639"/>
      <c r="D9" s="639"/>
      <c r="E9" s="639"/>
      <c r="F9" s="639"/>
      <c r="G9" s="639"/>
      <c r="H9" s="640"/>
    </row>
    <row r="10" spans="1:15" ht="78.75">
      <c r="A10" s="217" t="s">
        <v>223</v>
      </c>
      <c r="B10" s="217" t="s">
        <v>224</v>
      </c>
      <c r="C10" s="217" t="s">
        <v>225</v>
      </c>
      <c r="D10" s="217" t="s">
        <v>226</v>
      </c>
      <c r="E10" s="217" t="s">
        <v>227</v>
      </c>
      <c r="F10" s="506" t="s">
        <v>461</v>
      </c>
      <c r="G10" s="506" t="s">
        <v>462</v>
      </c>
      <c r="H10" s="501" t="s">
        <v>464</v>
      </c>
      <c r="K10" s="221" t="e">
        <f>#REF!/4</f>
        <v>#REF!</v>
      </c>
    </row>
    <row r="11" spans="1:15" s="215" customFormat="1" ht="36" customHeight="1">
      <c r="A11" s="509" t="s">
        <v>228</v>
      </c>
      <c r="B11" s="509" t="s">
        <v>229</v>
      </c>
      <c r="C11" s="510">
        <v>6</v>
      </c>
      <c r="D11" s="510">
        <v>4</v>
      </c>
      <c r="E11" s="510">
        <f>C11*D11</f>
        <v>24</v>
      </c>
      <c r="F11" s="504">
        <f>'12x36-24H PICOS 2023 SAL PS VA'!D169</f>
        <v>24609.15</v>
      </c>
      <c r="G11" s="505">
        <f>'12x36-24H PICOS 2023 SAL PS VA'!F169</f>
        <v>147654.90000000002</v>
      </c>
      <c r="H11" s="507">
        <f>G11/30*300</f>
        <v>1476549.0000000002</v>
      </c>
      <c r="J11" s="508">
        <f>SUM(H4:H11)</f>
        <v>1770048.0000000002</v>
      </c>
    </row>
    <row r="12" spans="1:15" ht="15.75">
      <c r="F12" s="493"/>
      <c r="G12" s="490"/>
      <c r="H12" s="490"/>
    </row>
    <row r="13" spans="1:15" ht="15.75">
      <c r="F13" s="218"/>
      <c r="G13" s="220"/>
    </row>
    <row r="14" spans="1:15" ht="15.75">
      <c r="F14" s="492"/>
      <c r="G14" s="219"/>
    </row>
    <row r="16" spans="1:15" ht="118.5" customHeight="1">
      <c r="F16" s="634" t="s">
        <v>465</v>
      </c>
      <c r="G16" s="634"/>
      <c r="H16" s="502">
        <f>G11*12</f>
        <v>1771858.8000000003</v>
      </c>
      <c r="J16" s="512">
        <f>H16*5%</f>
        <v>88592.940000000017</v>
      </c>
      <c r="L16" s="221"/>
      <c r="M16" s="221"/>
      <c r="N16" s="216">
        <f>N18</f>
        <v>0</v>
      </c>
    </row>
    <row r="17" spans="8:13">
      <c r="H17" s="221"/>
      <c r="L17" s="222"/>
      <c r="M17" s="221"/>
    </row>
    <row r="18" spans="8:13">
      <c r="L18" s="222"/>
    </row>
    <row r="19" spans="8:13">
      <c r="H19" s="512">
        <f>H16/12</f>
        <v>147654.90000000002</v>
      </c>
    </row>
  </sheetData>
  <mergeCells count="5">
    <mergeCell ref="F16:G16"/>
    <mergeCell ref="A1:H1"/>
    <mergeCell ref="A8:H8"/>
    <mergeCell ref="A2:H2"/>
    <mergeCell ref="A9:H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550"/>
  <sheetViews>
    <sheetView topLeftCell="A37" workbookViewId="0">
      <selection activeCell="G49" sqref="G49"/>
    </sheetView>
  </sheetViews>
  <sheetFormatPr defaultColWidth="9.140625" defaultRowHeight="24" customHeight="1"/>
  <cols>
    <col min="1" max="1" width="32.140625" style="1" customWidth="1"/>
    <col min="2" max="2" width="19.28515625" style="1" customWidth="1"/>
    <col min="3" max="4" width="22.28515625" style="1" customWidth="1"/>
    <col min="5" max="5" width="18.5703125" style="1" customWidth="1"/>
    <col min="6" max="6" width="17.7109375" style="1" customWidth="1"/>
    <col min="7" max="7" width="15.85546875" style="1" customWidth="1"/>
    <col min="8" max="16384" width="9.140625" style="1"/>
  </cols>
  <sheetData>
    <row r="1" spans="1:8" ht="24" customHeight="1">
      <c r="A1" s="688" t="s">
        <v>240</v>
      </c>
      <c r="B1" s="688"/>
      <c r="C1" s="688"/>
      <c r="D1" s="688"/>
      <c r="E1" s="688"/>
      <c r="F1" s="688"/>
      <c r="G1" s="688"/>
      <c r="H1" s="688"/>
    </row>
    <row r="2" spans="1:8" ht="24" customHeight="1">
      <c r="A2" s="688" t="s">
        <v>241</v>
      </c>
      <c r="B2" s="688"/>
      <c r="C2" s="688"/>
      <c r="D2" s="688"/>
      <c r="E2" s="688"/>
      <c r="F2" s="688"/>
      <c r="G2" s="688"/>
      <c r="H2" s="688"/>
    </row>
    <row r="3" spans="1:8" ht="177" customHeight="1">
      <c r="A3" s="647" t="s">
        <v>242</v>
      </c>
      <c r="B3" s="647"/>
      <c r="C3" s="647"/>
      <c r="D3" s="647"/>
      <c r="E3" s="647"/>
      <c r="F3" s="647"/>
      <c r="G3" s="647"/>
      <c r="H3" s="647"/>
    </row>
    <row r="4" spans="1:8" ht="24" customHeight="1">
      <c r="A4" s="2"/>
      <c r="B4" s="2"/>
      <c r="C4" s="2"/>
      <c r="D4" s="2"/>
      <c r="E4" s="2"/>
      <c r="F4" s="2"/>
      <c r="G4" s="3"/>
      <c r="H4" s="3"/>
    </row>
    <row r="5" spans="1:8" ht="24" customHeight="1">
      <c r="A5" s="646" t="s">
        <v>243</v>
      </c>
      <c r="B5" s="646"/>
      <c r="C5" s="646"/>
      <c r="D5" s="646"/>
      <c r="E5" s="646"/>
      <c r="F5" s="646"/>
      <c r="G5" s="646"/>
      <c r="H5" s="646"/>
    </row>
    <row r="6" spans="1:8" ht="40.5" customHeight="1">
      <c r="A6" s="647" t="s">
        <v>244</v>
      </c>
      <c r="B6" s="647"/>
      <c r="C6" s="647"/>
      <c r="D6" s="647"/>
      <c r="E6" s="647"/>
      <c r="F6" s="647"/>
      <c r="G6" s="647"/>
      <c r="H6" s="647"/>
    </row>
    <row r="7" spans="1:8" ht="24" customHeight="1">
      <c r="A7" s="2"/>
      <c r="B7" s="2"/>
      <c r="C7" s="2"/>
      <c r="D7" s="2"/>
      <c r="E7" s="2"/>
      <c r="F7" s="2"/>
      <c r="G7" s="3"/>
      <c r="H7" s="3"/>
    </row>
    <row r="8" spans="1:8" ht="24" customHeight="1">
      <c r="A8" s="677" t="s">
        <v>245</v>
      </c>
      <c r="B8" s="678"/>
      <c r="C8" s="678"/>
      <c r="D8" s="678"/>
      <c r="E8" s="678"/>
      <c r="F8" s="678"/>
      <c r="G8" s="678"/>
      <c r="H8" s="678"/>
    </row>
    <row r="9" spans="1:8" ht="33.75" customHeight="1">
      <c r="A9" s="647" t="s">
        <v>246</v>
      </c>
      <c r="B9" s="647"/>
      <c r="C9" s="647"/>
      <c r="D9" s="647"/>
      <c r="E9" s="647"/>
      <c r="F9" s="647"/>
      <c r="G9" s="647"/>
      <c r="H9" s="647"/>
    </row>
    <row r="11" spans="1:8" ht="24" customHeight="1">
      <c r="A11" s="643" t="s">
        <v>245</v>
      </c>
      <c r="B11" s="645"/>
    </row>
    <row r="12" spans="1:8" ht="24" customHeight="1">
      <c r="A12" s="6" t="s">
        <v>247</v>
      </c>
      <c r="B12" s="7" t="e">
        <f>#REF!</f>
        <v>#REF!</v>
      </c>
    </row>
    <row r="13" spans="1:8" ht="24" customHeight="1">
      <c r="A13" s="8" t="s">
        <v>248</v>
      </c>
      <c r="B13" s="9"/>
    </row>
    <row r="15" spans="1:8" ht="24" customHeight="1">
      <c r="A15" s="677" t="s">
        <v>249</v>
      </c>
      <c r="B15" s="678"/>
      <c r="C15" s="678"/>
      <c r="D15" s="678"/>
      <c r="E15" s="678"/>
      <c r="F15" s="678"/>
      <c r="G15" s="678"/>
      <c r="H15" s="678"/>
    </row>
    <row r="16" spans="1:8" ht="85.5" customHeight="1">
      <c r="A16" s="647" t="s">
        <v>250</v>
      </c>
      <c r="B16" s="647"/>
      <c r="C16" s="647"/>
      <c r="D16" s="647"/>
      <c r="E16" s="647"/>
      <c r="F16" s="647"/>
      <c r="G16" s="647"/>
      <c r="H16" s="647"/>
    </row>
    <row r="17" spans="1:8" ht="24" customHeight="1">
      <c r="A17" s="2"/>
      <c r="B17" s="2"/>
      <c r="C17" s="2"/>
      <c r="D17" s="2"/>
      <c r="E17" s="2"/>
      <c r="F17" s="2"/>
    </row>
    <row r="18" spans="1:8" ht="24" customHeight="1">
      <c r="A18" s="648" t="s">
        <v>249</v>
      </c>
      <c r="B18" s="649"/>
      <c r="C18" s="649"/>
      <c r="D18" s="650"/>
    </row>
    <row r="19" spans="1:8" ht="24" customHeight="1">
      <c r="A19" s="10" t="s">
        <v>251</v>
      </c>
      <c r="B19" s="11" t="s">
        <v>252</v>
      </c>
      <c r="C19" s="11" t="s">
        <v>253</v>
      </c>
      <c r="D19" s="12" t="s">
        <v>254</v>
      </c>
    </row>
    <row r="20" spans="1:8" ht="24" customHeight="1">
      <c r="A20" s="13" t="s">
        <v>255</v>
      </c>
      <c r="B20" s="14" t="e">
        <f>B12</f>
        <v>#REF!</v>
      </c>
      <c r="C20" s="15"/>
      <c r="D20" s="16" t="e">
        <f>B20*C20</f>
        <v>#REF!</v>
      </c>
      <c r="E20" s="3"/>
      <c r="G20" s="3"/>
      <c r="H20" s="3"/>
    </row>
    <row r="21" spans="1:8" ht="24" customHeight="1">
      <c r="A21" s="8" t="s">
        <v>248</v>
      </c>
      <c r="B21" s="17">
        <f>B13</f>
        <v>0</v>
      </c>
      <c r="C21" s="18"/>
      <c r="D21" s="19">
        <f>B21*C21</f>
        <v>0</v>
      </c>
      <c r="E21" s="3"/>
      <c r="G21" s="3"/>
      <c r="H21" s="3"/>
    </row>
    <row r="23" spans="1:8" ht="24" customHeight="1">
      <c r="A23" s="677" t="s">
        <v>256</v>
      </c>
      <c r="B23" s="678"/>
      <c r="C23" s="678"/>
      <c r="D23" s="678"/>
      <c r="E23" s="678"/>
      <c r="F23" s="678"/>
      <c r="G23" s="678"/>
      <c r="H23" s="678"/>
    </row>
    <row r="24" spans="1:8" ht="72" customHeight="1">
      <c r="A24" s="647" t="s">
        <v>257</v>
      </c>
      <c r="B24" s="647"/>
      <c r="C24" s="647"/>
      <c r="D24" s="647"/>
      <c r="E24" s="647"/>
      <c r="F24" s="647"/>
      <c r="G24" s="647"/>
      <c r="H24" s="647"/>
    </row>
    <row r="25" spans="1:8" ht="24" customHeight="1">
      <c r="A25" s="3"/>
      <c r="B25" s="3"/>
      <c r="C25" s="3"/>
      <c r="D25" s="3"/>
      <c r="F25" s="3"/>
    </row>
    <row r="26" spans="1:8" ht="24" customHeight="1">
      <c r="A26" s="643" t="s">
        <v>258</v>
      </c>
      <c r="B26" s="644"/>
      <c r="C26" s="644"/>
      <c r="D26" s="645"/>
    </row>
    <row r="27" spans="1:8" ht="24" customHeight="1">
      <c r="A27" s="10" t="s">
        <v>251</v>
      </c>
      <c r="B27" s="11" t="s">
        <v>252</v>
      </c>
      <c r="C27" s="11" t="s">
        <v>253</v>
      </c>
      <c r="D27" s="12" t="s">
        <v>178</v>
      </c>
    </row>
    <row r="28" spans="1:8" ht="24" customHeight="1">
      <c r="A28" s="13" t="s">
        <v>259</v>
      </c>
      <c r="B28" s="14" t="e">
        <f>B12</f>
        <v>#REF!</v>
      </c>
      <c r="C28" s="21">
        <v>0.3</v>
      </c>
      <c r="D28" s="22" t="e">
        <f t="shared" ref="D28:D33" si="0">B28*C28</f>
        <v>#REF!</v>
      </c>
    </row>
    <row r="29" spans="1:8" ht="24" customHeight="1">
      <c r="A29" s="23" t="s">
        <v>260</v>
      </c>
      <c r="B29" s="24" t="e">
        <f>B12</f>
        <v>#REF!</v>
      </c>
      <c r="C29" s="25">
        <f>C28</f>
        <v>0.3</v>
      </c>
      <c r="D29" s="26" t="e">
        <f t="shared" si="0"/>
        <v>#REF!</v>
      </c>
    </row>
    <row r="30" spans="1:8" ht="24" customHeight="1">
      <c r="A30" s="27" t="s">
        <v>261</v>
      </c>
      <c r="B30" s="28" t="e">
        <f>B12</f>
        <v>#REF!</v>
      </c>
      <c r="C30" s="29">
        <f>C29</f>
        <v>0.3</v>
      </c>
      <c r="D30" s="30" t="e">
        <f t="shared" si="0"/>
        <v>#REF!</v>
      </c>
    </row>
    <row r="31" spans="1:8" ht="24" customHeight="1">
      <c r="A31" s="13" t="s">
        <v>262</v>
      </c>
      <c r="B31" s="14"/>
      <c r="C31" s="21">
        <f>C30</f>
        <v>0.3</v>
      </c>
      <c r="D31" s="22">
        <f t="shared" si="0"/>
        <v>0</v>
      </c>
    </row>
    <row r="32" spans="1:8" ht="24" customHeight="1">
      <c r="A32" s="23" t="s">
        <v>263</v>
      </c>
      <c r="B32" s="24"/>
      <c r="C32" s="25">
        <v>0.3</v>
      </c>
      <c r="D32" s="26">
        <f t="shared" si="0"/>
        <v>0</v>
      </c>
    </row>
    <row r="33" spans="1:8" ht="24" customHeight="1">
      <c r="A33" s="8" t="s">
        <v>264</v>
      </c>
      <c r="B33" s="17"/>
      <c r="C33" s="31">
        <f>C32</f>
        <v>0.3</v>
      </c>
      <c r="D33" s="9">
        <f t="shared" si="0"/>
        <v>0</v>
      </c>
      <c r="G33" s="3"/>
      <c r="H33" s="3"/>
    </row>
    <row r="36" spans="1:8" ht="24" customHeight="1">
      <c r="A36" s="677" t="s">
        <v>265</v>
      </c>
      <c r="B36" s="678"/>
      <c r="C36" s="678"/>
      <c r="D36" s="678"/>
      <c r="E36" s="678"/>
      <c r="F36" s="678"/>
      <c r="G36" s="678"/>
      <c r="H36" s="678"/>
    </row>
    <row r="37" spans="1:8" ht="69.75" customHeight="1">
      <c r="A37" s="647" t="s">
        <v>266</v>
      </c>
      <c r="B37" s="647"/>
      <c r="C37" s="647"/>
      <c r="D37" s="647"/>
      <c r="E37" s="647"/>
      <c r="F37" s="647"/>
      <c r="G37" s="647"/>
      <c r="H37" s="647"/>
    </row>
    <row r="39" spans="1:8" ht="24" customHeight="1">
      <c r="A39" s="648" t="s">
        <v>265</v>
      </c>
      <c r="B39" s="649"/>
      <c r="C39" s="649"/>
      <c r="D39" s="649"/>
      <c r="E39" s="650"/>
    </row>
    <row r="40" spans="1:8" ht="24" customHeight="1">
      <c r="A40" s="10" t="s">
        <v>251</v>
      </c>
      <c r="B40" s="11" t="s">
        <v>267</v>
      </c>
      <c r="C40" s="11" t="s">
        <v>268</v>
      </c>
      <c r="D40" s="11" t="s">
        <v>253</v>
      </c>
      <c r="E40" s="12" t="s">
        <v>178</v>
      </c>
    </row>
    <row r="41" spans="1:8" ht="24" customHeight="1">
      <c r="A41" s="13" t="s">
        <v>260</v>
      </c>
      <c r="B41" s="14" t="e">
        <f>B12+D29</f>
        <v>#REF!</v>
      </c>
      <c r="C41" s="32">
        <f>7/12</f>
        <v>0.58333333333333337</v>
      </c>
      <c r="D41" s="33">
        <v>0.2</v>
      </c>
      <c r="E41" s="22" t="e">
        <f>B41*C41*D41</f>
        <v>#REF!</v>
      </c>
    </row>
    <row r="42" spans="1:8" ht="24" customHeight="1">
      <c r="A42" s="8" t="s">
        <v>263</v>
      </c>
      <c r="B42" s="17">
        <f>B13+D32</f>
        <v>0</v>
      </c>
      <c r="C42" s="34">
        <f>7/12</f>
        <v>0.58333333333333337</v>
      </c>
      <c r="D42" s="31">
        <v>0.2</v>
      </c>
      <c r="E42" s="9">
        <f>B42*C42*D42</f>
        <v>0</v>
      </c>
    </row>
    <row r="43" spans="1:8" ht="24" customHeight="1">
      <c r="A43" s="648" t="s">
        <v>269</v>
      </c>
      <c r="B43" s="649"/>
      <c r="C43" s="649"/>
      <c r="D43" s="649"/>
      <c r="E43" s="650"/>
    </row>
    <row r="44" spans="1:8" ht="24" customHeight="1">
      <c r="A44" s="10" t="s">
        <v>251</v>
      </c>
      <c r="B44" s="11" t="s">
        <v>267</v>
      </c>
      <c r="C44" s="11" t="s">
        <v>268</v>
      </c>
      <c r="D44" s="11" t="s">
        <v>253</v>
      </c>
      <c r="E44" s="12" t="s">
        <v>178</v>
      </c>
    </row>
    <row r="45" spans="1:8" ht="24" customHeight="1">
      <c r="A45" s="13" t="s">
        <v>260</v>
      </c>
      <c r="B45" s="14" t="e">
        <f>B12+D29</f>
        <v>#REF!</v>
      </c>
      <c r="C45" s="32">
        <f>1/12</f>
        <v>8.3333333333333329E-2</v>
      </c>
      <c r="D45" s="21">
        <v>0.6</v>
      </c>
      <c r="E45" s="22" t="e">
        <f>B45*C45*D45</f>
        <v>#REF!</v>
      </c>
    </row>
    <row r="46" spans="1:8" ht="24" customHeight="1">
      <c r="A46" s="8" t="s">
        <v>263</v>
      </c>
      <c r="B46" s="17">
        <f>B13+D32</f>
        <v>0</v>
      </c>
      <c r="C46" s="34">
        <f>1/12</f>
        <v>8.3333333333333329E-2</v>
      </c>
      <c r="D46" s="31">
        <v>0.6</v>
      </c>
      <c r="E46" s="9">
        <f>B46*C46*D46</f>
        <v>0</v>
      </c>
    </row>
    <row r="47" spans="1:8" ht="33.75" customHeight="1"/>
    <row r="48" spans="1:8" ht="24" customHeight="1">
      <c r="A48" s="643" t="s">
        <v>270</v>
      </c>
      <c r="B48" s="644"/>
      <c r="C48" s="644"/>
      <c r="D48" s="645"/>
    </row>
    <row r="49" spans="1:8" ht="30.75" customHeight="1">
      <c r="A49" s="10" t="s">
        <v>251</v>
      </c>
      <c r="B49" s="11" t="s">
        <v>271</v>
      </c>
      <c r="C49" s="35" t="s">
        <v>272</v>
      </c>
      <c r="D49" s="12" t="s">
        <v>178</v>
      </c>
    </row>
    <row r="50" spans="1:8" ht="24" customHeight="1">
      <c r="A50" s="13" t="s">
        <v>260</v>
      </c>
      <c r="B50" s="14" t="e">
        <f>E41</f>
        <v>#REF!</v>
      </c>
      <c r="C50" s="14" t="e">
        <f>E45</f>
        <v>#REF!</v>
      </c>
      <c r="D50" s="22" t="e">
        <f>SUM(B50:C50)</f>
        <v>#REF!</v>
      </c>
    </row>
    <row r="51" spans="1:8" ht="24" customHeight="1">
      <c r="A51" s="8" t="s">
        <v>263</v>
      </c>
      <c r="B51" s="17">
        <f>E42</f>
        <v>0</v>
      </c>
      <c r="C51" s="17">
        <f>E46</f>
        <v>0</v>
      </c>
      <c r="D51" s="9">
        <f>SUM(B51:C51)</f>
        <v>0</v>
      </c>
      <c r="G51" s="3"/>
      <c r="H51" s="3"/>
    </row>
    <row r="53" spans="1:8" ht="24" customHeight="1">
      <c r="A53" s="686" t="s">
        <v>273</v>
      </c>
      <c r="B53" s="686"/>
      <c r="C53" s="686"/>
      <c r="D53" s="686"/>
      <c r="E53" s="3"/>
      <c r="F53" s="3"/>
    </row>
    <row r="54" spans="1:8" ht="48" customHeight="1">
      <c r="A54" s="647" t="s">
        <v>274</v>
      </c>
      <c r="B54" s="647"/>
      <c r="C54" s="647"/>
      <c r="D54" s="647"/>
      <c r="E54" s="647"/>
      <c r="F54" s="647"/>
    </row>
    <row r="56" spans="1:8" ht="24" customHeight="1">
      <c r="A56" s="643" t="s">
        <v>273</v>
      </c>
      <c r="B56" s="644"/>
      <c r="C56" s="644"/>
      <c r="D56" s="645"/>
    </row>
    <row r="57" spans="1:8" ht="24" customHeight="1">
      <c r="A57" s="10" t="s">
        <v>251</v>
      </c>
      <c r="B57" s="11" t="s">
        <v>252</v>
      </c>
      <c r="C57" s="11" t="s">
        <v>253</v>
      </c>
      <c r="D57" s="12" t="s">
        <v>178</v>
      </c>
    </row>
    <row r="58" spans="1:8" ht="24" customHeight="1">
      <c r="A58" s="13" t="s">
        <v>259</v>
      </c>
      <c r="B58" s="36"/>
      <c r="C58" s="36"/>
      <c r="D58" s="37"/>
    </row>
    <row r="59" spans="1:8" ht="24" customHeight="1">
      <c r="A59" s="23" t="s">
        <v>260</v>
      </c>
      <c r="B59" s="38"/>
      <c r="C59" s="38"/>
      <c r="D59" s="39"/>
    </row>
    <row r="60" spans="1:8" ht="24" customHeight="1">
      <c r="A60" s="8" t="s">
        <v>275</v>
      </c>
      <c r="B60" s="40"/>
      <c r="C60" s="40"/>
      <c r="D60" s="41"/>
    </row>
    <row r="61" spans="1:8" ht="24" customHeight="1">
      <c r="A61" s="13" t="s">
        <v>262</v>
      </c>
      <c r="B61" s="36"/>
      <c r="C61" s="36"/>
      <c r="D61" s="37"/>
    </row>
    <row r="62" spans="1:8" ht="24" customHeight="1">
      <c r="A62" s="23" t="s">
        <v>263</v>
      </c>
      <c r="B62" s="38"/>
      <c r="C62" s="38"/>
      <c r="D62" s="39"/>
    </row>
    <row r="63" spans="1:8" ht="24" customHeight="1">
      <c r="A63" s="8" t="s">
        <v>264</v>
      </c>
      <c r="B63" s="40"/>
      <c r="C63" s="40"/>
      <c r="D63" s="41"/>
      <c r="H63" s="3"/>
    </row>
    <row r="65" spans="1:8" ht="24" customHeight="1">
      <c r="A65" s="646" t="s">
        <v>243</v>
      </c>
      <c r="B65" s="646"/>
      <c r="C65" s="646"/>
      <c r="D65" s="646"/>
      <c r="E65" s="646"/>
      <c r="F65" s="646"/>
      <c r="G65" s="646"/>
      <c r="H65" s="646"/>
    </row>
    <row r="66" spans="1:8" ht="42" customHeight="1">
      <c r="A66" s="687" t="s">
        <v>276</v>
      </c>
      <c r="B66" s="687"/>
      <c r="C66" s="687"/>
      <c r="D66" s="687"/>
      <c r="E66" s="687"/>
      <c r="F66" s="687"/>
      <c r="G66" s="687"/>
      <c r="H66" s="687"/>
    </row>
    <row r="67" spans="1:8" ht="30.75" customHeight="1"/>
    <row r="68" spans="1:8" ht="24" customHeight="1">
      <c r="A68" s="648" t="s">
        <v>243</v>
      </c>
      <c r="B68" s="649"/>
      <c r="C68" s="649"/>
      <c r="D68" s="649"/>
      <c r="E68" s="649"/>
      <c r="F68" s="649"/>
      <c r="G68" s="650"/>
    </row>
    <row r="69" spans="1:8" ht="47.25">
      <c r="A69" s="4" t="s">
        <v>251</v>
      </c>
      <c r="B69" s="20" t="s">
        <v>277</v>
      </c>
      <c r="C69" s="42" t="s">
        <v>278</v>
      </c>
      <c r="D69" s="42" t="s">
        <v>279</v>
      </c>
      <c r="E69" s="20" t="s">
        <v>271</v>
      </c>
      <c r="F69" s="20" t="s">
        <v>280</v>
      </c>
      <c r="G69" s="5" t="s">
        <v>281</v>
      </c>
    </row>
    <row r="70" spans="1:8" ht="24" customHeight="1">
      <c r="A70" s="13" t="s">
        <v>259</v>
      </c>
      <c r="B70" s="14" t="e">
        <f>B12</f>
        <v>#REF!</v>
      </c>
      <c r="C70" s="14" t="e">
        <f>D20</f>
        <v>#REF!</v>
      </c>
      <c r="D70" s="14" t="e">
        <f t="shared" ref="D70:D75" si="1">D28</f>
        <v>#REF!</v>
      </c>
      <c r="E70" s="36"/>
      <c r="F70" s="43">
        <f t="shared" ref="F70:F75" si="2">D58</f>
        <v>0</v>
      </c>
      <c r="G70" s="22" t="e">
        <f>SUM(B70:F70)</f>
        <v>#REF!</v>
      </c>
    </row>
    <row r="71" spans="1:8" ht="24" customHeight="1">
      <c r="A71" s="23" t="s">
        <v>260</v>
      </c>
      <c r="B71" s="24" t="e">
        <f>B12</f>
        <v>#REF!</v>
      </c>
      <c r="C71" s="24" t="e">
        <f>D20</f>
        <v>#REF!</v>
      </c>
      <c r="D71" s="24" t="e">
        <f t="shared" si="1"/>
        <v>#REF!</v>
      </c>
      <c r="E71" s="24" t="e">
        <f>D50</f>
        <v>#REF!</v>
      </c>
      <c r="F71" s="44">
        <f t="shared" si="2"/>
        <v>0</v>
      </c>
      <c r="G71" s="26" t="e">
        <f t="shared" ref="G71:G75" si="3">SUM(B71:F71)</f>
        <v>#REF!</v>
      </c>
    </row>
    <row r="72" spans="1:8" ht="24" customHeight="1">
      <c r="A72" s="27" t="s">
        <v>275</v>
      </c>
      <c r="B72" s="28" t="e">
        <f>B12</f>
        <v>#REF!</v>
      </c>
      <c r="C72" s="28" t="e">
        <f>D20</f>
        <v>#REF!</v>
      </c>
      <c r="D72" s="28" t="e">
        <f t="shared" si="1"/>
        <v>#REF!</v>
      </c>
      <c r="E72" s="45"/>
      <c r="F72" s="46">
        <f t="shared" si="2"/>
        <v>0</v>
      </c>
      <c r="G72" s="30" t="e">
        <f t="shared" si="3"/>
        <v>#REF!</v>
      </c>
    </row>
    <row r="73" spans="1:8" ht="24" customHeight="1">
      <c r="A73" s="13" t="s">
        <v>262</v>
      </c>
      <c r="B73" s="14">
        <f>B13</f>
        <v>0</v>
      </c>
      <c r="C73" s="14">
        <f>D21</f>
        <v>0</v>
      </c>
      <c r="D73" s="14">
        <f t="shared" si="1"/>
        <v>0</v>
      </c>
      <c r="E73" s="36"/>
      <c r="F73" s="43">
        <f t="shared" si="2"/>
        <v>0</v>
      </c>
      <c r="G73" s="22">
        <f t="shared" si="3"/>
        <v>0</v>
      </c>
    </row>
    <row r="74" spans="1:8" ht="24" customHeight="1">
      <c r="A74" s="23" t="s">
        <v>263</v>
      </c>
      <c r="B74" s="24">
        <f>B13</f>
        <v>0</v>
      </c>
      <c r="C74" s="24">
        <f>D21</f>
        <v>0</v>
      </c>
      <c r="D74" s="24">
        <f t="shared" si="1"/>
        <v>0</v>
      </c>
      <c r="E74" s="24">
        <f>D51</f>
        <v>0</v>
      </c>
      <c r="F74" s="44">
        <f t="shared" si="2"/>
        <v>0</v>
      </c>
      <c r="G74" s="26">
        <f t="shared" si="3"/>
        <v>0</v>
      </c>
    </row>
    <row r="75" spans="1:8" ht="24" customHeight="1">
      <c r="A75" s="8" t="s">
        <v>264</v>
      </c>
      <c r="B75" s="17">
        <f>B13</f>
        <v>0</v>
      </c>
      <c r="C75" s="17">
        <f>D21</f>
        <v>0</v>
      </c>
      <c r="D75" s="17">
        <f t="shared" si="1"/>
        <v>0</v>
      </c>
      <c r="E75" s="40"/>
      <c r="F75" s="47">
        <f t="shared" si="2"/>
        <v>0</v>
      </c>
      <c r="G75" s="9">
        <f t="shared" si="3"/>
        <v>0</v>
      </c>
      <c r="H75" s="3"/>
    </row>
    <row r="77" spans="1:8" ht="24" customHeight="1">
      <c r="A77" s="646" t="s">
        <v>282</v>
      </c>
      <c r="B77" s="646"/>
      <c r="C77" s="646"/>
      <c r="D77" s="646"/>
      <c r="E77" s="646"/>
      <c r="F77" s="646"/>
      <c r="G77" s="646"/>
      <c r="H77" s="646"/>
    </row>
    <row r="79" spans="1:8" ht="24" customHeight="1">
      <c r="A79" s="677" t="s">
        <v>283</v>
      </c>
      <c r="B79" s="678"/>
      <c r="C79" s="678"/>
      <c r="D79" s="678"/>
      <c r="E79" s="678"/>
      <c r="F79" s="678"/>
      <c r="G79" s="678"/>
      <c r="H79" s="678"/>
    </row>
    <row r="80" spans="1:8" ht="15.75"/>
    <row r="81" spans="1:5" ht="31.5" customHeight="1">
      <c r="A81" s="679" t="s">
        <v>284</v>
      </c>
      <c r="B81" s="644"/>
      <c r="C81" s="644"/>
      <c r="D81" s="645"/>
      <c r="E81" s="49"/>
    </row>
    <row r="82" spans="1:5" ht="31.5">
      <c r="A82" s="50" t="s">
        <v>251</v>
      </c>
      <c r="B82" s="51" t="s">
        <v>252</v>
      </c>
      <c r="C82" s="52" t="s">
        <v>285</v>
      </c>
      <c r="D82" s="53" t="s">
        <v>178</v>
      </c>
    </row>
    <row r="83" spans="1:5" ht="24" customHeight="1">
      <c r="A83" s="13" t="s">
        <v>259</v>
      </c>
      <c r="B83" s="14" t="e">
        <f t="shared" ref="B83:B88" si="4">G70</f>
        <v>#REF!</v>
      </c>
      <c r="C83" s="54">
        <f>1/12</f>
        <v>8.3333333333333329E-2</v>
      </c>
      <c r="D83" s="22" t="e">
        <f>B83*C83</f>
        <v>#REF!</v>
      </c>
    </row>
    <row r="84" spans="1:5" ht="24" customHeight="1">
      <c r="A84" s="23" t="s">
        <v>260</v>
      </c>
      <c r="B84" s="24" t="e">
        <f t="shared" si="4"/>
        <v>#REF!</v>
      </c>
      <c r="C84" s="55">
        <f t="shared" ref="C84:C88" si="5">1/12</f>
        <v>8.3333333333333329E-2</v>
      </c>
      <c r="D84" s="26" t="e">
        <f t="shared" ref="D84:D88" si="6">B84*C84</f>
        <v>#REF!</v>
      </c>
    </row>
    <row r="85" spans="1:5" ht="24" customHeight="1">
      <c r="A85" s="27" t="s">
        <v>275</v>
      </c>
      <c r="B85" s="28" t="e">
        <f t="shared" si="4"/>
        <v>#REF!</v>
      </c>
      <c r="C85" s="56">
        <f t="shared" si="5"/>
        <v>8.3333333333333329E-2</v>
      </c>
      <c r="D85" s="30" t="e">
        <f t="shared" si="6"/>
        <v>#REF!</v>
      </c>
    </row>
    <row r="86" spans="1:5" ht="24" customHeight="1">
      <c r="A86" s="13" t="s">
        <v>262</v>
      </c>
      <c r="B86" s="14">
        <f t="shared" si="4"/>
        <v>0</v>
      </c>
      <c r="C86" s="54">
        <f t="shared" si="5"/>
        <v>8.3333333333333329E-2</v>
      </c>
      <c r="D86" s="22">
        <f t="shared" si="6"/>
        <v>0</v>
      </c>
    </row>
    <row r="87" spans="1:5" ht="24" customHeight="1">
      <c r="A87" s="23" t="s">
        <v>263</v>
      </c>
      <c r="B87" s="24">
        <f t="shared" si="4"/>
        <v>0</v>
      </c>
      <c r="C87" s="55">
        <f t="shared" si="5"/>
        <v>8.3333333333333329E-2</v>
      </c>
      <c r="D87" s="26">
        <f t="shared" si="6"/>
        <v>0</v>
      </c>
    </row>
    <row r="88" spans="1:5" ht="24" customHeight="1">
      <c r="A88" s="8" t="s">
        <v>264</v>
      </c>
      <c r="B88" s="17">
        <f t="shared" si="4"/>
        <v>0</v>
      </c>
      <c r="C88" s="57">
        <f t="shared" si="5"/>
        <v>8.3333333333333329E-2</v>
      </c>
      <c r="D88" s="9">
        <f t="shared" si="6"/>
        <v>0</v>
      </c>
    </row>
    <row r="89" spans="1:5" ht="15.75"/>
    <row r="90" spans="1:5" ht="36.75" customHeight="1">
      <c r="A90" s="679" t="s">
        <v>286</v>
      </c>
      <c r="B90" s="644"/>
      <c r="C90" s="644"/>
      <c r="D90" s="645"/>
    </row>
    <row r="91" spans="1:5" ht="30.75" customHeight="1">
      <c r="A91" s="50" t="s">
        <v>251</v>
      </c>
      <c r="B91" s="51" t="s">
        <v>252</v>
      </c>
      <c r="C91" s="52" t="s">
        <v>285</v>
      </c>
      <c r="D91" s="53" t="s">
        <v>178</v>
      </c>
    </row>
    <row r="92" spans="1:5" ht="24" customHeight="1">
      <c r="A92" s="13" t="s">
        <v>259</v>
      </c>
      <c r="B92" s="14" t="e">
        <f t="shared" ref="B92:B97" si="7">G70</f>
        <v>#REF!</v>
      </c>
      <c r="C92" s="54">
        <f>1/12</f>
        <v>8.3333333333333329E-2</v>
      </c>
      <c r="D92" s="22" t="e">
        <f>B92*C92</f>
        <v>#REF!</v>
      </c>
    </row>
    <row r="93" spans="1:5" ht="24" customHeight="1">
      <c r="A93" s="23" t="s">
        <v>260</v>
      </c>
      <c r="B93" s="24" t="e">
        <f t="shared" si="7"/>
        <v>#REF!</v>
      </c>
      <c r="C93" s="55">
        <f t="shared" ref="C93:C97" si="8">1/12</f>
        <v>8.3333333333333329E-2</v>
      </c>
      <c r="D93" s="26" t="e">
        <f t="shared" ref="D93:D97" si="9">B93*C93</f>
        <v>#REF!</v>
      </c>
    </row>
    <row r="94" spans="1:5" ht="24" customHeight="1">
      <c r="A94" s="27" t="s">
        <v>275</v>
      </c>
      <c r="B94" s="28" t="e">
        <f t="shared" si="7"/>
        <v>#REF!</v>
      </c>
      <c r="C94" s="56">
        <f t="shared" si="8"/>
        <v>8.3333333333333329E-2</v>
      </c>
      <c r="D94" s="30" t="e">
        <f t="shared" si="9"/>
        <v>#REF!</v>
      </c>
    </row>
    <row r="95" spans="1:5" ht="24" customHeight="1">
      <c r="A95" s="13" t="s">
        <v>262</v>
      </c>
      <c r="B95" s="14">
        <f t="shared" si="7"/>
        <v>0</v>
      </c>
      <c r="C95" s="54">
        <f t="shared" si="8"/>
        <v>8.3333333333333329E-2</v>
      </c>
      <c r="D95" s="22">
        <f t="shared" si="9"/>
        <v>0</v>
      </c>
    </row>
    <row r="96" spans="1:5" ht="24" customHeight="1">
      <c r="A96" s="23" t="s">
        <v>263</v>
      </c>
      <c r="B96" s="24">
        <f t="shared" si="7"/>
        <v>0</v>
      </c>
      <c r="C96" s="55">
        <f t="shared" si="8"/>
        <v>8.3333333333333329E-2</v>
      </c>
      <c r="D96" s="26">
        <f t="shared" si="9"/>
        <v>0</v>
      </c>
    </row>
    <row r="97" spans="1:5" ht="24" customHeight="1">
      <c r="A97" s="8" t="s">
        <v>264</v>
      </c>
      <c r="B97" s="17">
        <f t="shared" si="7"/>
        <v>0</v>
      </c>
      <c r="C97" s="57">
        <f t="shared" si="8"/>
        <v>8.3333333333333329E-2</v>
      </c>
      <c r="D97" s="9">
        <f t="shared" si="9"/>
        <v>0</v>
      </c>
    </row>
    <row r="98" spans="1:5" ht="38.25" customHeight="1"/>
    <row r="99" spans="1:5" ht="24" customHeight="1">
      <c r="A99" s="674" t="s">
        <v>287</v>
      </c>
      <c r="B99" s="675"/>
      <c r="C99" s="675"/>
      <c r="D99" s="675"/>
      <c r="E99" s="676"/>
    </row>
    <row r="100" spans="1:5" ht="30" customHeight="1">
      <c r="A100" s="50" t="s">
        <v>251</v>
      </c>
      <c r="B100" s="51" t="s">
        <v>252</v>
      </c>
      <c r="C100" s="52" t="s">
        <v>288</v>
      </c>
      <c r="D100" s="52" t="s">
        <v>285</v>
      </c>
      <c r="E100" s="53" t="s">
        <v>178</v>
      </c>
    </row>
    <row r="101" spans="1:5" ht="24" customHeight="1">
      <c r="A101" s="13" t="s">
        <v>259</v>
      </c>
      <c r="B101" s="14" t="e">
        <f t="shared" ref="B101:B106" si="10">G70</f>
        <v>#REF!</v>
      </c>
      <c r="C101" s="32">
        <f>1/3</f>
        <v>0.33333333333333331</v>
      </c>
      <c r="D101" s="54">
        <f>1/12</f>
        <v>8.3333333333333329E-2</v>
      </c>
      <c r="E101" s="22" t="e">
        <f t="shared" ref="E101:E106" si="11">B101*C101*D101</f>
        <v>#REF!</v>
      </c>
    </row>
    <row r="102" spans="1:5" ht="24" customHeight="1">
      <c r="A102" s="23" t="s">
        <v>260</v>
      </c>
      <c r="B102" s="24" t="e">
        <f t="shared" si="10"/>
        <v>#REF!</v>
      </c>
      <c r="C102" s="60">
        <f t="shared" ref="C102:C106" si="12">1/3</f>
        <v>0.33333333333333331</v>
      </c>
      <c r="D102" s="55">
        <f t="shared" ref="D102:D106" si="13">1/12</f>
        <v>8.3333333333333329E-2</v>
      </c>
      <c r="E102" s="26" t="e">
        <f t="shared" si="11"/>
        <v>#REF!</v>
      </c>
    </row>
    <row r="103" spans="1:5" ht="24" customHeight="1">
      <c r="A103" s="27" t="s">
        <v>275</v>
      </c>
      <c r="B103" s="28" t="e">
        <f t="shared" si="10"/>
        <v>#REF!</v>
      </c>
      <c r="C103" s="61">
        <f t="shared" si="12"/>
        <v>0.33333333333333331</v>
      </c>
      <c r="D103" s="56">
        <f t="shared" si="13"/>
        <v>8.3333333333333329E-2</v>
      </c>
      <c r="E103" s="30" t="e">
        <f t="shared" si="11"/>
        <v>#REF!</v>
      </c>
    </row>
    <row r="104" spans="1:5" ht="24" customHeight="1">
      <c r="A104" s="13" t="s">
        <v>262</v>
      </c>
      <c r="B104" s="14">
        <f t="shared" si="10"/>
        <v>0</v>
      </c>
      <c r="C104" s="32">
        <f t="shared" si="12"/>
        <v>0.33333333333333331</v>
      </c>
      <c r="D104" s="54">
        <f t="shared" si="13"/>
        <v>8.3333333333333329E-2</v>
      </c>
      <c r="E104" s="22">
        <f t="shared" si="11"/>
        <v>0</v>
      </c>
    </row>
    <row r="105" spans="1:5" ht="24" customHeight="1">
      <c r="A105" s="23" t="s">
        <v>263</v>
      </c>
      <c r="B105" s="24">
        <f t="shared" si="10"/>
        <v>0</v>
      </c>
      <c r="C105" s="60">
        <f t="shared" si="12"/>
        <v>0.33333333333333331</v>
      </c>
      <c r="D105" s="55">
        <f t="shared" si="13"/>
        <v>8.3333333333333329E-2</v>
      </c>
      <c r="E105" s="26">
        <f t="shared" si="11"/>
        <v>0</v>
      </c>
    </row>
    <row r="106" spans="1:5" ht="24" customHeight="1">
      <c r="A106" s="8" t="s">
        <v>264</v>
      </c>
      <c r="B106" s="17">
        <f t="shared" si="10"/>
        <v>0</v>
      </c>
      <c r="C106" s="34">
        <f t="shared" si="12"/>
        <v>0.33333333333333331</v>
      </c>
      <c r="D106" s="57">
        <f t="shared" si="13"/>
        <v>8.3333333333333329E-2</v>
      </c>
      <c r="E106" s="9">
        <f t="shared" si="11"/>
        <v>0</v>
      </c>
    </row>
    <row r="108" spans="1:5" ht="24" customHeight="1">
      <c r="A108" s="648" t="s">
        <v>283</v>
      </c>
      <c r="B108" s="649"/>
      <c r="C108" s="649"/>
      <c r="D108" s="649"/>
      <c r="E108" s="650"/>
    </row>
    <row r="109" spans="1:5" ht="24" customHeight="1">
      <c r="A109" s="50" t="s">
        <v>251</v>
      </c>
      <c r="B109" s="51" t="s">
        <v>289</v>
      </c>
      <c r="C109" s="51" t="s">
        <v>290</v>
      </c>
      <c r="D109" s="51" t="s">
        <v>291</v>
      </c>
      <c r="E109" s="53" t="s">
        <v>281</v>
      </c>
    </row>
    <row r="110" spans="1:5" ht="24" customHeight="1">
      <c r="A110" s="13" t="s">
        <v>259</v>
      </c>
      <c r="B110" s="14" t="e">
        <f t="shared" ref="B110:B115" si="14">D83</f>
        <v>#REF!</v>
      </c>
      <c r="C110" s="14" t="e">
        <f>D92</f>
        <v>#REF!</v>
      </c>
      <c r="D110" s="14" t="e">
        <f t="shared" ref="D110:D115" si="15">E101</f>
        <v>#REF!</v>
      </c>
      <c r="E110" s="22" t="e">
        <f t="shared" ref="E110:E115" si="16">SUM(B110:D110)</f>
        <v>#REF!</v>
      </c>
    </row>
    <row r="111" spans="1:5" ht="24" customHeight="1">
      <c r="A111" s="23" t="s">
        <v>260</v>
      </c>
      <c r="B111" s="24" t="e">
        <f t="shared" si="14"/>
        <v>#REF!</v>
      </c>
      <c r="C111" s="24" t="e">
        <f t="shared" ref="C111:C115" si="17">D93</f>
        <v>#REF!</v>
      </c>
      <c r="D111" s="24" t="e">
        <f t="shared" si="15"/>
        <v>#REF!</v>
      </c>
      <c r="E111" s="26" t="e">
        <f t="shared" si="16"/>
        <v>#REF!</v>
      </c>
    </row>
    <row r="112" spans="1:5" ht="24" customHeight="1">
      <c r="A112" s="27" t="s">
        <v>275</v>
      </c>
      <c r="B112" s="28" t="e">
        <f t="shared" si="14"/>
        <v>#REF!</v>
      </c>
      <c r="C112" s="28" t="e">
        <f t="shared" si="17"/>
        <v>#REF!</v>
      </c>
      <c r="D112" s="28" t="e">
        <f t="shared" si="15"/>
        <v>#REF!</v>
      </c>
      <c r="E112" s="30" t="e">
        <f t="shared" si="16"/>
        <v>#REF!</v>
      </c>
    </row>
    <row r="113" spans="1:8" ht="24" customHeight="1">
      <c r="A113" s="13" t="s">
        <v>262</v>
      </c>
      <c r="B113" s="14">
        <f t="shared" si="14"/>
        <v>0</v>
      </c>
      <c r="C113" s="14">
        <f t="shared" si="17"/>
        <v>0</v>
      </c>
      <c r="D113" s="14">
        <f t="shared" si="15"/>
        <v>0</v>
      </c>
      <c r="E113" s="22">
        <f t="shared" si="16"/>
        <v>0</v>
      </c>
    </row>
    <row r="114" spans="1:8" ht="24" customHeight="1">
      <c r="A114" s="23" t="s">
        <v>263</v>
      </c>
      <c r="B114" s="24">
        <f t="shared" si="14"/>
        <v>0</v>
      </c>
      <c r="C114" s="24">
        <f t="shared" si="17"/>
        <v>0</v>
      </c>
      <c r="D114" s="24">
        <f t="shared" si="15"/>
        <v>0</v>
      </c>
      <c r="E114" s="26">
        <f t="shared" si="16"/>
        <v>0</v>
      </c>
    </row>
    <row r="115" spans="1:8" ht="24" customHeight="1">
      <c r="A115" s="8" t="s">
        <v>264</v>
      </c>
      <c r="B115" s="17">
        <f t="shared" si="14"/>
        <v>0</v>
      </c>
      <c r="C115" s="17">
        <f t="shared" si="17"/>
        <v>0</v>
      </c>
      <c r="D115" s="17">
        <f t="shared" si="15"/>
        <v>0</v>
      </c>
      <c r="E115" s="9">
        <f t="shared" si="16"/>
        <v>0</v>
      </c>
      <c r="H115" s="3"/>
    </row>
    <row r="117" spans="1:8" ht="24" customHeight="1">
      <c r="A117" s="677" t="s">
        <v>292</v>
      </c>
      <c r="B117" s="678"/>
      <c r="C117" s="678"/>
      <c r="D117" s="678"/>
      <c r="E117" s="678"/>
      <c r="F117" s="678"/>
      <c r="G117" s="678"/>
      <c r="H117" s="678"/>
    </row>
    <row r="118" spans="1:8" ht="51.75" customHeight="1">
      <c r="A118" s="647" t="s">
        <v>293</v>
      </c>
      <c r="B118" s="647"/>
      <c r="C118" s="647"/>
      <c r="D118" s="647"/>
      <c r="E118" s="647"/>
      <c r="F118" s="647"/>
      <c r="G118" s="647"/>
      <c r="H118" s="647"/>
    </row>
    <row r="120" spans="1:8" ht="24" customHeight="1">
      <c r="A120" s="643" t="s">
        <v>294</v>
      </c>
      <c r="B120" s="645"/>
    </row>
    <row r="121" spans="1:8" ht="24" customHeight="1">
      <c r="A121" s="50" t="s">
        <v>295</v>
      </c>
      <c r="B121" s="53" t="s">
        <v>253</v>
      </c>
    </row>
    <row r="122" spans="1:8" ht="24" customHeight="1">
      <c r="A122" s="13" t="s">
        <v>296</v>
      </c>
      <c r="B122" s="62">
        <v>0.2</v>
      </c>
    </row>
    <row r="123" spans="1:8" ht="24" customHeight="1">
      <c r="A123" s="23" t="s">
        <v>297</v>
      </c>
      <c r="B123" s="63">
        <v>2.5000000000000001E-2</v>
      </c>
    </row>
    <row r="124" spans="1:8" ht="24" customHeight="1">
      <c r="A124" s="23" t="s">
        <v>298</v>
      </c>
      <c r="B124" s="64">
        <f>3%*1</f>
        <v>0.03</v>
      </c>
    </row>
    <row r="125" spans="1:8" ht="24" customHeight="1">
      <c r="A125" s="23" t="s">
        <v>299</v>
      </c>
      <c r="B125" s="63">
        <v>1.4999999999999999E-2</v>
      </c>
    </row>
    <row r="126" spans="1:8" ht="24" customHeight="1">
      <c r="A126" s="23" t="s">
        <v>300</v>
      </c>
      <c r="B126" s="63">
        <v>0.01</v>
      </c>
    </row>
    <row r="127" spans="1:8" ht="24" customHeight="1">
      <c r="A127" s="23" t="s">
        <v>116</v>
      </c>
      <c r="B127" s="63">
        <v>6.0000000000000001E-3</v>
      </c>
    </row>
    <row r="128" spans="1:8" ht="24" customHeight="1">
      <c r="A128" s="23" t="s">
        <v>117</v>
      </c>
      <c r="B128" s="63">
        <v>2E-3</v>
      </c>
    </row>
    <row r="129" spans="1:4" ht="24" customHeight="1">
      <c r="A129" s="8" t="s">
        <v>119</v>
      </c>
      <c r="B129" s="65">
        <v>0.08</v>
      </c>
    </row>
    <row r="130" spans="1:4" ht="24" customHeight="1">
      <c r="A130" s="66" t="s">
        <v>41</v>
      </c>
      <c r="B130" s="67">
        <f>SUM(B122:B129)</f>
        <v>0.36800000000000005</v>
      </c>
    </row>
    <row r="132" spans="1:4" ht="24" customHeight="1">
      <c r="A132" s="643" t="s">
        <v>301</v>
      </c>
      <c r="B132" s="644"/>
      <c r="C132" s="644"/>
      <c r="D132" s="645"/>
    </row>
    <row r="133" spans="1:4" ht="24" customHeight="1">
      <c r="A133" s="50" t="s">
        <v>251</v>
      </c>
      <c r="B133" s="51" t="s">
        <v>252</v>
      </c>
      <c r="C133" s="51" t="s">
        <v>253</v>
      </c>
      <c r="D133" s="53" t="s">
        <v>178</v>
      </c>
    </row>
    <row r="134" spans="1:4" ht="24" customHeight="1">
      <c r="A134" s="13" t="s">
        <v>259</v>
      </c>
      <c r="B134" s="14" t="e">
        <f>G70+E110</f>
        <v>#REF!</v>
      </c>
      <c r="C134" s="68">
        <f>SUM($B$122:$B$128)</f>
        <v>0.28800000000000003</v>
      </c>
      <c r="D134" s="22" t="e">
        <f>B134*C134</f>
        <v>#REF!</v>
      </c>
    </row>
    <row r="135" spans="1:4" ht="24" customHeight="1">
      <c r="A135" s="23" t="s">
        <v>260</v>
      </c>
      <c r="B135" s="24" t="e">
        <f t="shared" ref="B135:B139" si="18">G71+E111</f>
        <v>#REF!</v>
      </c>
      <c r="C135" s="69">
        <f t="shared" ref="C135:C139" si="19">SUM($B$122:$B$128)</f>
        <v>0.28800000000000003</v>
      </c>
      <c r="D135" s="26" t="e">
        <f t="shared" ref="D135:D139" si="20">B135*C135</f>
        <v>#REF!</v>
      </c>
    </row>
    <row r="136" spans="1:4" ht="24" customHeight="1">
      <c r="A136" s="27" t="s">
        <v>275</v>
      </c>
      <c r="B136" s="28" t="e">
        <f t="shared" si="18"/>
        <v>#REF!</v>
      </c>
      <c r="C136" s="70">
        <f t="shared" si="19"/>
        <v>0.28800000000000003</v>
      </c>
      <c r="D136" s="30" t="e">
        <f t="shared" si="20"/>
        <v>#REF!</v>
      </c>
    </row>
    <row r="137" spans="1:4" ht="24" customHeight="1">
      <c r="A137" s="13" t="s">
        <v>262</v>
      </c>
      <c r="B137" s="14">
        <f t="shared" si="18"/>
        <v>0</v>
      </c>
      <c r="C137" s="68">
        <f t="shared" si="19"/>
        <v>0.28800000000000003</v>
      </c>
      <c r="D137" s="22">
        <f t="shared" si="20"/>
        <v>0</v>
      </c>
    </row>
    <row r="138" spans="1:4" ht="24" customHeight="1">
      <c r="A138" s="23" t="s">
        <v>263</v>
      </c>
      <c r="B138" s="24">
        <f t="shared" si="18"/>
        <v>0</v>
      </c>
      <c r="C138" s="69">
        <f t="shared" si="19"/>
        <v>0.28800000000000003</v>
      </c>
      <c r="D138" s="26">
        <f t="shared" si="20"/>
        <v>0</v>
      </c>
    </row>
    <row r="139" spans="1:4" ht="24" customHeight="1">
      <c r="A139" s="8" t="s">
        <v>264</v>
      </c>
      <c r="B139" s="17">
        <f t="shared" si="18"/>
        <v>0</v>
      </c>
      <c r="C139" s="71">
        <f t="shared" si="19"/>
        <v>0.28800000000000003</v>
      </c>
      <c r="D139" s="9">
        <f t="shared" si="20"/>
        <v>0</v>
      </c>
    </row>
    <row r="141" spans="1:4" ht="24" customHeight="1">
      <c r="A141" s="643" t="s">
        <v>302</v>
      </c>
      <c r="B141" s="644"/>
      <c r="C141" s="644"/>
      <c r="D141" s="645"/>
    </row>
    <row r="142" spans="1:4" ht="24" customHeight="1">
      <c r="A142" s="50" t="s">
        <v>251</v>
      </c>
      <c r="B142" s="51" t="s">
        <v>252</v>
      </c>
      <c r="C142" s="51" t="s">
        <v>253</v>
      </c>
      <c r="D142" s="53" t="s">
        <v>178</v>
      </c>
    </row>
    <row r="143" spans="1:4" ht="24" customHeight="1">
      <c r="A143" s="13" t="s">
        <v>259</v>
      </c>
      <c r="B143" s="14" t="e">
        <f t="shared" ref="B143:B148" si="21">G70+E110</f>
        <v>#REF!</v>
      </c>
      <c r="C143" s="54">
        <f>$B$129</f>
        <v>0.08</v>
      </c>
      <c r="D143" s="22" t="e">
        <f>B143*C143</f>
        <v>#REF!</v>
      </c>
    </row>
    <row r="144" spans="1:4" ht="24" customHeight="1">
      <c r="A144" s="23" t="s">
        <v>260</v>
      </c>
      <c r="B144" s="24" t="e">
        <f t="shared" si="21"/>
        <v>#REF!</v>
      </c>
      <c r="C144" s="55">
        <f t="shared" ref="C144:C148" si="22">$B$129</f>
        <v>0.08</v>
      </c>
      <c r="D144" s="26" t="e">
        <f t="shared" ref="D144:D148" si="23">B144*C144</f>
        <v>#REF!</v>
      </c>
    </row>
    <row r="145" spans="1:8" ht="24" customHeight="1">
      <c r="A145" s="27" t="s">
        <v>275</v>
      </c>
      <c r="B145" s="28" t="e">
        <f t="shared" si="21"/>
        <v>#REF!</v>
      </c>
      <c r="C145" s="56">
        <f t="shared" si="22"/>
        <v>0.08</v>
      </c>
      <c r="D145" s="30" t="e">
        <f t="shared" si="23"/>
        <v>#REF!</v>
      </c>
    </row>
    <row r="146" spans="1:8" ht="24" customHeight="1">
      <c r="A146" s="13" t="s">
        <v>262</v>
      </c>
      <c r="B146" s="14">
        <f t="shared" si="21"/>
        <v>0</v>
      </c>
      <c r="C146" s="54">
        <f t="shared" si="22"/>
        <v>0.08</v>
      </c>
      <c r="D146" s="22">
        <f t="shared" si="23"/>
        <v>0</v>
      </c>
    </row>
    <row r="147" spans="1:8" ht="24" customHeight="1">
      <c r="A147" s="23" t="s">
        <v>263</v>
      </c>
      <c r="B147" s="24">
        <f t="shared" si="21"/>
        <v>0</v>
      </c>
      <c r="C147" s="55">
        <f t="shared" si="22"/>
        <v>0.08</v>
      </c>
      <c r="D147" s="26">
        <f t="shared" si="23"/>
        <v>0</v>
      </c>
    </row>
    <row r="148" spans="1:8" ht="24" customHeight="1">
      <c r="A148" s="8" t="s">
        <v>264</v>
      </c>
      <c r="B148" s="17">
        <f t="shared" si="21"/>
        <v>0</v>
      </c>
      <c r="C148" s="57">
        <f t="shared" si="22"/>
        <v>0.08</v>
      </c>
      <c r="D148" s="9">
        <f t="shared" si="23"/>
        <v>0</v>
      </c>
    </row>
    <row r="150" spans="1:8" ht="24" customHeight="1">
      <c r="A150" s="643" t="s">
        <v>292</v>
      </c>
      <c r="B150" s="644"/>
      <c r="C150" s="644"/>
      <c r="D150" s="645"/>
    </row>
    <row r="151" spans="1:8" ht="24" customHeight="1">
      <c r="A151" s="50" t="s">
        <v>251</v>
      </c>
      <c r="B151" s="51" t="s">
        <v>303</v>
      </c>
      <c r="C151" s="51" t="s">
        <v>119</v>
      </c>
      <c r="D151" s="53" t="s">
        <v>281</v>
      </c>
    </row>
    <row r="152" spans="1:8" ht="24" customHeight="1">
      <c r="A152" s="13" t="s">
        <v>259</v>
      </c>
      <c r="B152" s="14" t="e">
        <f>D134</f>
        <v>#REF!</v>
      </c>
      <c r="C152" s="14" t="e">
        <f>D143</f>
        <v>#REF!</v>
      </c>
      <c r="D152" s="22" t="e">
        <f>B152+C152</f>
        <v>#REF!</v>
      </c>
    </row>
    <row r="153" spans="1:8" ht="24" customHeight="1">
      <c r="A153" s="23" t="s">
        <v>260</v>
      </c>
      <c r="B153" s="24" t="e">
        <f t="shared" ref="B153:B157" si="24">D135</f>
        <v>#REF!</v>
      </c>
      <c r="C153" s="24" t="e">
        <f t="shared" ref="C153:C157" si="25">D144</f>
        <v>#REF!</v>
      </c>
      <c r="D153" s="26" t="e">
        <f t="shared" ref="D153:D157" si="26">B153+C153</f>
        <v>#REF!</v>
      </c>
    </row>
    <row r="154" spans="1:8" ht="24" customHeight="1">
      <c r="A154" s="27" t="s">
        <v>275</v>
      </c>
      <c r="B154" s="28" t="e">
        <f t="shared" si="24"/>
        <v>#REF!</v>
      </c>
      <c r="C154" s="28" t="e">
        <f t="shared" si="25"/>
        <v>#REF!</v>
      </c>
      <c r="D154" s="30" t="e">
        <f t="shared" si="26"/>
        <v>#REF!</v>
      </c>
    </row>
    <row r="155" spans="1:8" ht="24" customHeight="1">
      <c r="A155" s="13" t="s">
        <v>262</v>
      </c>
      <c r="B155" s="14">
        <f t="shared" si="24"/>
        <v>0</v>
      </c>
      <c r="C155" s="14">
        <f t="shared" si="25"/>
        <v>0</v>
      </c>
      <c r="D155" s="22">
        <f t="shared" si="26"/>
        <v>0</v>
      </c>
    </row>
    <row r="156" spans="1:8" ht="24" customHeight="1">
      <c r="A156" s="23" t="s">
        <v>263</v>
      </c>
      <c r="B156" s="24">
        <f t="shared" si="24"/>
        <v>0</v>
      </c>
      <c r="C156" s="24">
        <f t="shared" si="25"/>
        <v>0</v>
      </c>
      <c r="D156" s="26">
        <f t="shared" si="26"/>
        <v>0</v>
      </c>
    </row>
    <row r="157" spans="1:8" ht="24" customHeight="1">
      <c r="A157" s="8" t="s">
        <v>264</v>
      </c>
      <c r="B157" s="17">
        <f t="shared" si="24"/>
        <v>0</v>
      </c>
      <c r="C157" s="17">
        <f t="shared" si="25"/>
        <v>0</v>
      </c>
      <c r="D157" s="9">
        <f t="shared" si="26"/>
        <v>0</v>
      </c>
      <c r="H157" s="3"/>
    </row>
    <row r="159" spans="1:8" ht="24" customHeight="1">
      <c r="A159" s="677" t="s">
        <v>304</v>
      </c>
      <c r="B159" s="678"/>
      <c r="C159" s="678"/>
      <c r="D159" s="678"/>
      <c r="E159" s="678"/>
      <c r="F159" s="678"/>
      <c r="G159" s="678"/>
      <c r="H159" s="678"/>
    </row>
    <row r="160" spans="1:8" ht="72.75" customHeight="1">
      <c r="A160" s="647" t="s">
        <v>305</v>
      </c>
      <c r="B160" s="647"/>
      <c r="C160" s="647"/>
      <c r="D160" s="647"/>
      <c r="E160" s="647"/>
      <c r="F160" s="647"/>
      <c r="G160" s="647"/>
      <c r="H160" s="647"/>
    </row>
    <row r="162" spans="1:7" ht="24" customHeight="1">
      <c r="A162" s="686" t="s">
        <v>306</v>
      </c>
      <c r="B162" s="686"/>
      <c r="C162" s="686"/>
      <c r="D162" s="686"/>
      <c r="E162" s="686"/>
      <c r="F162" s="686"/>
      <c r="G162" s="3"/>
    </row>
    <row r="163" spans="1:7" ht="36" customHeight="1"/>
    <row r="164" spans="1:7" ht="24" customHeight="1">
      <c r="A164" s="648" t="s">
        <v>307</v>
      </c>
      <c r="B164" s="649"/>
      <c r="C164" s="649"/>
      <c r="D164" s="649"/>
      <c r="E164" s="650"/>
    </row>
    <row r="165" spans="1:7" ht="31.5">
      <c r="A165" s="50" t="s">
        <v>251</v>
      </c>
      <c r="B165" s="51" t="s">
        <v>308</v>
      </c>
      <c r="C165" s="51" t="s">
        <v>309</v>
      </c>
      <c r="D165" s="52" t="s">
        <v>310</v>
      </c>
      <c r="E165" s="53" t="s">
        <v>311</v>
      </c>
    </row>
    <row r="166" spans="1:7" ht="24" customHeight="1">
      <c r="A166" s="13" t="s">
        <v>259</v>
      </c>
      <c r="B166" s="14">
        <v>3.6</v>
      </c>
      <c r="C166" s="72">
        <v>2</v>
      </c>
      <c r="D166" s="72">
        <v>15</v>
      </c>
      <c r="E166" s="22">
        <f t="shared" ref="E166:E171" si="27">B166*C166*D166</f>
        <v>108</v>
      </c>
    </row>
    <row r="167" spans="1:7" ht="24" customHeight="1">
      <c r="A167" s="23" t="s">
        <v>260</v>
      </c>
      <c r="B167" s="24">
        <f>B166</f>
        <v>3.6</v>
      </c>
      <c r="C167" s="73">
        <f t="shared" ref="C167:C171" si="28">C166</f>
        <v>2</v>
      </c>
      <c r="D167" s="73">
        <v>15</v>
      </c>
      <c r="E167" s="26">
        <f t="shared" si="27"/>
        <v>108</v>
      </c>
    </row>
    <row r="168" spans="1:7" ht="24" customHeight="1">
      <c r="A168" s="27" t="s">
        <v>275</v>
      </c>
      <c r="B168" s="28">
        <f>B167</f>
        <v>3.6</v>
      </c>
      <c r="C168" s="74">
        <f t="shared" si="28"/>
        <v>2</v>
      </c>
      <c r="D168" s="74">
        <v>22</v>
      </c>
      <c r="E168" s="30">
        <f t="shared" si="27"/>
        <v>158.4</v>
      </c>
    </row>
    <row r="169" spans="1:7" ht="24" customHeight="1">
      <c r="A169" s="13" t="s">
        <v>262</v>
      </c>
      <c r="B169" s="14">
        <f>B168</f>
        <v>3.6</v>
      </c>
      <c r="C169" s="72">
        <f t="shared" si="28"/>
        <v>2</v>
      </c>
      <c r="D169" s="72">
        <v>15</v>
      </c>
      <c r="E169" s="22">
        <f t="shared" si="27"/>
        <v>108</v>
      </c>
    </row>
    <row r="170" spans="1:7" ht="24" customHeight="1">
      <c r="A170" s="23" t="s">
        <v>263</v>
      </c>
      <c r="B170" s="24">
        <f>B169</f>
        <v>3.6</v>
      </c>
      <c r="C170" s="73">
        <f t="shared" si="28"/>
        <v>2</v>
      </c>
      <c r="D170" s="73">
        <v>15</v>
      </c>
      <c r="E170" s="26">
        <f t="shared" si="27"/>
        <v>108</v>
      </c>
    </row>
    <row r="171" spans="1:7" ht="24" customHeight="1">
      <c r="A171" s="8" t="s">
        <v>264</v>
      </c>
      <c r="B171" s="17">
        <f>B170</f>
        <v>3.6</v>
      </c>
      <c r="C171" s="75">
        <f t="shared" si="28"/>
        <v>2</v>
      </c>
      <c r="D171" s="75">
        <v>22</v>
      </c>
      <c r="E171" s="9">
        <f t="shared" si="27"/>
        <v>158.4</v>
      </c>
    </row>
    <row r="173" spans="1:7" ht="24" customHeight="1">
      <c r="A173" s="648" t="s">
        <v>312</v>
      </c>
      <c r="B173" s="649"/>
      <c r="C173" s="649"/>
      <c r="D173" s="649"/>
      <c r="E173" s="650"/>
    </row>
    <row r="174" spans="1:7" ht="24" customHeight="1">
      <c r="A174" s="50" t="s">
        <v>251</v>
      </c>
      <c r="B174" s="51" t="s">
        <v>252</v>
      </c>
      <c r="C174" s="51" t="s">
        <v>313</v>
      </c>
      <c r="D174" s="51" t="s">
        <v>253</v>
      </c>
      <c r="E174" s="53" t="s">
        <v>314</v>
      </c>
    </row>
    <row r="175" spans="1:7" ht="24" customHeight="1">
      <c r="A175" s="13" t="s">
        <v>259</v>
      </c>
      <c r="B175" s="14" t="e">
        <f>B12</f>
        <v>#REF!</v>
      </c>
      <c r="C175" s="21">
        <v>1</v>
      </c>
      <c r="D175" s="21">
        <v>0.06</v>
      </c>
      <c r="E175" s="22" t="e">
        <f t="shared" ref="E175:E180" si="29">B175*C175*D175</f>
        <v>#REF!</v>
      </c>
    </row>
    <row r="176" spans="1:7" ht="24" customHeight="1">
      <c r="A176" s="23" t="s">
        <v>260</v>
      </c>
      <c r="B176" s="24" t="e">
        <f>B12</f>
        <v>#REF!</v>
      </c>
      <c r="C176" s="25">
        <v>1</v>
      </c>
      <c r="D176" s="25">
        <v>0.06</v>
      </c>
      <c r="E176" s="26" t="e">
        <f t="shared" si="29"/>
        <v>#REF!</v>
      </c>
    </row>
    <row r="177" spans="1:8" ht="24" customHeight="1">
      <c r="A177" s="27" t="s">
        <v>275</v>
      </c>
      <c r="B177" s="28" t="e">
        <f>B12</f>
        <v>#REF!</v>
      </c>
      <c r="C177" s="29">
        <v>1</v>
      </c>
      <c r="D177" s="29">
        <v>0.06</v>
      </c>
      <c r="E177" s="30" t="e">
        <f t="shared" si="29"/>
        <v>#REF!</v>
      </c>
    </row>
    <row r="178" spans="1:8" ht="24" customHeight="1">
      <c r="A178" s="13" t="s">
        <v>262</v>
      </c>
      <c r="B178" s="14">
        <f>B13</f>
        <v>0</v>
      </c>
      <c r="C178" s="21">
        <v>0.5</v>
      </c>
      <c r="D178" s="21">
        <v>0.06</v>
      </c>
      <c r="E178" s="22">
        <f t="shared" si="29"/>
        <v>0</v>
      </c>
    </row>
    <row r="179" spans="1:8" ht="24" customHeight="1">
      <c r="A179" s="23" t="s">
        <v>263</v>
      </c>
      <c r="B179" s="24">
        <f>B13</f>
        <v>0</v>
      </c>
      <c r="C179" s="25">
        <v>0.5</v>
      </c>
      <c r="D179" s="25">
        <v>0.06</v>
      </c>
      <c r="E179" s="26">
        <f t="shared" si="29"/>
        <v>0</v>
      </c>
    </row>
    <row r="180" spans="1:8" ht="24" customHeight="1">
      <c r="A180" s="8" t="s">
        <v>264</v>
      </c>
      <c r="B180" s="17">
        <f>B13</f>
        <v>0</v>
      </c>
      <c r="C180" s="31">
        <v>1</v>
      </c>
      <c r="D180" s="31">
        <v>0.06</v>
      </c>
      <c r="E180" s="9">
        <f t="shared" si="29"/>
        <v>0</v>
      </c>
    </row>
    <row r="182" spans="1:8" ht="24" customHeight="1">
      <c r="A182" s="643" t="s">
        <v>315</v>
      </c>
      <c r="B182" s="644"/>
      <c r="C182" s="644"/>
      <c r="D182" s="645"/>
    </row>
    <row r="183" spans="1:8" ht="24" customHeight="1">
      <c r="A183" s="50" t="s">
        <v>251</v>
      </c>
      <c r="B183" s="51" t="s">
        <v>311</v>
      </c>
      <c r="C183" s="51" t="s">
        <v>316</v>
      </c>
      <c r="D183" s="53" t="s">
        <v>317</v>
      </c>
    </row>
    <row r="184" spans="1:8" ht="24" customHeight="1">
      <c r="A184" s="13" t="s">
        <v>259</v>
      </c>
      <c r="B184" s="14">
        <f t="shared" ref="B184:B189" si="30">E166</f>
        <v>108</v>
      </c>
      <c r="C184" s="14" t="e">
        <f t="shared" ref="C184:C189" si="31">E175</f>
        <v>#REF!</v>
      </c>
      <c r="D184" s="22" t="e">
        <f>B184-C184</f>
        <v>#REF!</v>
      </c>
    </row>
    <row r="185" spans="1:8" ht="24" customHeight="1">
      <c r="A185" s="23" t="s">
        <v>260</v>
      </c>
      <c r="B185" s="24">
        <f t="shared" si="30"/>
        <v>108</v>
      </c>
      <c r="C185" s="24" t="e">
        <f t="shared" si="31"/>
        <v>#REF!</v>
      </c>
      <c r="D185" s="26" t="e">
        <f t="shared" ref="D185:D189" si="32">B185-C185</f>
        <v>#REF!</v>
      </c>
    </row>
    <row r="186" spans="1:8" ht="24" customHeight="1">
      <c r="A186" s="27" t="s">
        <v>275</v>
      </c>
      <c r="B186" s="28">
        <f t="shared" si="30"/>
        <v>158.4</v>
      </c>
      <c r="C186" s="28" t="e">
        <f t="shared" si="31"/>
        <v>#REF!</v>
      </c>
      <c r="D186" s="30" t="e">
        <f t="shared" si="32"/>
        <v>#REF!</v>
      </c>
    </row>
    <row r="187" spans="1:8" ht="24" customHeight="1">
      <c r="A187" s="13" t="s">
        <v>262</v>
      </c>
      <c r="B187" s="14">
        <f t="shared" si="30"/>
        <v>108</v>
      </c>
      <c r="C187" s="14">
        <f t="shared" si="31"/>
        <v>0</v>
      </c>
      <c r="D187" s="22">
        <f t="shared" si="32"/>
        <v>108</v>
      </c>
    </row>
    <row r="188" spans="1:8" ht="24" customHeight="1">
      <c r="A188" s="23" t="s">
        <v>263</v>
      </c>
      <c r="B188" s="24">
        <f t="shared" si="30"/>
        <v>108</v>
      </c>
      <c r="C188" s="24">
        <f t="shared" si="31"/>
        <v>0</v>
      </c>
      <c r="D188" s="26">
        <f t="shared" si="32"/>
        <v>108</v>
      </c>
    </row>
    <row r="189" spans="1:8" ht="24" customHeight="1">
      <c r="A189" s="8" t="s">
        <v>264</v>
      </c>
      <c r="B189" s="17">
        <f t="shared" si="30"/>
        <v>158.4</v>
      </c>
      <c r="C189" s="17">
        <f t="shared" si="31"/>
        <v>0</v>
      </c>
      <c r="D189" s="9">
        <f t="shared" si="32"/>
        <v>158.4</v>
      </c>
      <c r="H189" s="3"/>
    </row>
    <row r="191" spans="1:8" ht="24" customHeight="1">
      <c r="A191" s="686" t="s">
        <v>318</v>
      </c>
      <c r="B191" s="686"/>
      <c r="C191" s="686"/>
      <c r="D191" s="686"/>
      <c r="E191" s="686"/>
      <c r="F191" s="686"/>
      <c r="G191" s="3"/>
    </row>
    <row r="192" spans="1:8" ht="31.5" customHeight="1"/>
    <row r="193" spans="1:4" ht="24" customHeight="1">
      <c r="A193" s="643" t="s">
        <v>318</v>
      </c>
      <c r="B193" s="644"/>
      <c r="C193" s="644"/>
      <c r="D193" s="645"/>
    </row>
    <row r="194" spans="1:4" ht="27" customHeight="1">
      <c r="A194" s="10" t="s">
        <v>251</v>
      </c>
      <c r="B194" s="11" t="s">
        <v>319</v>
      </c>
      <c r="C194" s="35" t="s">
        <v>310</v>
      </c>
      <c r="D194" s="12" t="s">
        <v>178</v>
      </c>
    </row>
    <row r="195" spans="1:4" ht="24" customHeight="1">
      <c r="A195" s="13" t="s">
        <v>259</v>
      </c>
      <c r="B195" s="14">
        <v>25</v>
      </c>
      <c r="C195" s="72">
        <f>D166</f>
        <v>15</v>
      </c>
      <c r="D195" s="22">
        <f>B195*C195</f>
        <v>375</v>
      </c>
    </row>
    <row r="196" spans="1:4" ht="24" customHeight="1">
      <c r="A196" s="23" t="s">
        <v>260</v>
      </c>
      <c r="B196" s="24">
        <f>B195</f>
        <v>25</v>
      </c>
      <c r="C196" s="73">
        <f t="shared" ref="C196:C200" si="33">D167</f>
        <v>15</v>
      </c>
      <c r="D196" s="26">
        <f t="shared" ref="D196:D200" si="34">B196*C196</f>
        <v>375</v>
      </c>
    </row>
    <row r="197" spans="1:4" ht="24" customHeight="1">
      <c r="A197" s="8" t="s">
        <v>275</v>
      </c>
      <c r="B197" s="17">
        <f>B196</f>
        <v>25</v>
      </c>
      <c r="C197" s="75">
        <f t="shared" si="33"/>
        <v>22</v>
      </c>
      <c r="D197" s="9">
        <f t="shared" si="34"/>
        <v>550</v>
      </c>
    </row>
    <row r="198" spans="1:4" ht="24" customHeight="1">
      <c r="A198" s="13" t="s">
        <v>262</v>
      </c>
      <c r="B198" s="14">
        <f>B197</f>
        <v>25</v>
      </c>
      <c r="C198" s="72">
        <f t="shared" si="33"/>
        <v>15</v>
      </c>
      <c r="D198" s="22">
        <f t="shared" si="34"/>
        <v>375</v>
      </c>
    </row>
    <row r="199" spans="1:4" ht="24" customHeight="1">
      <c r="A199" s="23" t="s">
        <v>263</v>
      </c>
      <c r="B199" s="24">
        <f>B198</f>
        <v>25</v>
      </c>
      <c r="C199" s="73">
        <f t="shared" si="33"/>
        <v>15</v>
      </c>
      <c r="D199" s="26">
        <f t="shared" si="34"/>
        <v>375</v>
      </c>
    </row>
    <row r="200" spans="1:4" ht="24" customHeight="1">
      <c r="A200" s="8" t="s">
        <v>264</v>
      </c>
      <c r="B200" s="17">
        <f>B199</f>
        <v>25</v>
      </c>
      <c r="C200" s="75">
        <f t="shared" si="33"/>
        <v>22</v>
      </c>
      <c r="D200" s="9">
        <f t="shared" si="34"/>
        <v>550</v>
      </c>
    </row>
    <row r="202" spans="1:4" ht="24" customHeight="1">
      <c r="A202" s="643" t="s">
        <v>320</v>
      </c>
      <c r="B202" s="644"/>
      <c r="C202" s="644"/>
      <c r="D202" s="645"/>
    </row>
    <row r="203" spans="1:4" ht="24" customHeight="1">
      <c r="A203" s="50" t="s">
        <v>251</v>
      </c>
      <c r="B203" s="51" t="s">
        <v>252</v>
      </c>
      <c r="C203" s="51" t="s">
        <v>253</v>
      </c>
      <c r="D203" s="53" t="s">
        <v>314</v>
      </c>
    </row>
    <row r="204" spans="1:4" ht="24" customHeight="1">
      <c r="A204" s="13" t="s">
        <v>259</v>
      </c>
      <c r="B204" s="14">
        <f>25*15</f>
        <v>375</v>
      </c>
      <c r="C204" s="21">
        <v>0.15</v>
      </c>
      <c r="D204" s="22">
        <f>B204*C204</f>
        <v>56.25</v>
      </c>
    </row>
    <row r="205" spans="1:4" ht="24" customHeight="1">
      <c r="A205" s="23" t="s">
        <v>260</v>
      </c>
      <c r="B205" s="24">
        <f>25*15</f>
        <v>375</v>
      </c>
      <c r="C205" s="25">
        <f>C204</f>
        <v>0.15</v>
      </c>
      <c r="D205" s="26">
        <f t="shared" ref="D205:D209" si="35">B205*C205</f>
        <v>56.25</v>
      </c>
    </row>
    <row r="206" spans="1:4" ht="24" customHeight="1">
      <c r="A206" s="23" t="s">
        <v>275</v>
      </c>
      <c r="B206" s="24">
        <f>25*22</f>
        <v>550</v>
      </c>
      <c r="C206" s="25">
        <f>C205</f>
        <v>0.15</v>
      </c>
      <c r="D206" s="26">
        <f t="shared" si="35"/>
        <v>82.5</v>
      </c>
    </row>
    <row r="207" spans="1:4" ht="24" customHeight="1">
      <c r="A207" s="23" t="s">
        <v>262</v>
      </c>
      <c r="B207" s="24">
        <f>25*15</f>
        <v>375</v>
      </c>
      <c r="C207" s="25">
        <f>C206</f>
        <v>0.15</v>
      </c>
      <c r="D207" s="26">
        <f t="shared" si="35"/>
        <v>56.25</v>
      </c>
    </row>
    <row r="208" spans="1:4" ht="24" customHeight="1">
      <c r="A208" s="23" t="s">
        <v>263</v>
      </c>
      <c r="B208" s="24">
        <f>25*15</f>
        <v>375</v>
      </c>
      <c r="C208" s="25">
        <f>C207</f>
        <v>0.15</v>
      </c>
      <c r="D208" s="26">
        <f t="shared" si="35"/>
        <v>56.25</v>
      </c>
    </row>
    <row r="209" spans="1:8" ht="24" customHeight="1">
      <c r="A209" s="8" t="s">
        <v>264</v>
      </c>
      <c r="B209" s="17">
        <f>25*22</f>
        <v>550</v>
      </c>
      <c r="C209" s="31">
        <f>C208</f>
        <v>0.15</v>
      </c>
      <c r="D209" s="9">
        <f t="shared" si="35"/>
        <v>82.5</v>
      </c>
    </row>
    <row r="211" spans="1:8" ht="24" customHeight="1">
      <c r="A211" s="643" t="s">
        <v>321</v>
      </c>
      <c r="B211" s="644"/>
      <c r="C211" s="644"/>
      <c r="D211" s="645"/>
    </row>
    <row r="212" spans="1:8" ht="24" customHeight="1">
      <c r="A212" s="50" t="s">
        <v>251</v>
      </c>
      <c r="B212" s="51" t="s">
        <v>311</v>
      </c>
      <c r="C212" s="51" t="s">
        <v>314</v>
      </c>
      <c r="D212" s="53" t="s">
        <v>317</v>
      </c>
    </row>
    <row r="213" spans="1:8" ht="24" customHeight="1">
      <c r="A213" s="13" t="s">
        <v>259</v>
      </c>
      <c r="B213" s="14">
        <f>25*15</f>
        <v>375</v>
      </c>
      <c r="C213" s="14">
        <f>D204</f>
        <v>56.25</v>
      </c>
      <c r="D213" s="22">
        <f>B213-C213</f>
        <v>318.75</v>
      </c>
    </row>
    <row r="214" spans="1:8" ht="24" customHeight="1">
      <c r="A214" s="23" t="s">
        <v>260</v>
      </c>
      <c r="B214" s="24">
        <f>25*15</f>
        <v>375</v>
      </c>
      <c r="C214" s="24">
        <f t="shared" ref="C214:C218" si="36">D205</f>
        <v>56.25</v>
      </c>
      <c r="D214" s="26">
        <f t="shared" ref="D214:D218" si="37">B214-C214</f>
        <v>318.75</v>
      </c>
    </row>
    <row r="215" spans="1:8" ht="24" customHeight="1">
      <c r="A215" s="27" t="s">
        <v>275</v>
      </c>
      <c r="B215" s="24">
        <f>25*22</f>
        <v>550</v>
      </c>
      <c r="C215" s="28">
        <f t="shared" si="36"/>
        <v>82.5</v>
      </c>
      <c r="D215" s="30">
        <f t="shared" si="37"/>
        <v>467.5</v>
      </c>
    </row>
    <row r="216" spans="1:8" ht="24" customHeight="1">
      <c r="A216" s="13" t="s">
        <v>262</v>
      </c>
      <c r="B216" s="24">
        <f>25*15</f>
        <v>375</v>
      </c>
      <c r="C216" s="14">
        <f t="shared" si="36"/>
        <v>56.25</v>
      </c>
      <c r="D216" s="22">
        <f t="shared" si="37"/>
        <v>318.75</v>
      </c>
    </row>
    <row r="217" spans="1:8" ht="24" customHeight="1">
      <c r="A217" s="23" t="s">
        <v>263</v>
      </c>
      <c r="B217" s="24">
        <f>25*15</f>
        <v>375</v>
      </c>
      <c r="C217" s="24">
        <f t="shared" si="36"/>
        <v>56.25</v>
      </c>
      <c r="D217" s="26">
        <f t="shared" si="37"/>
        <v>318.75</v>
      </c>
    </row>
    <row r="218" spans="1:8" ht="24" customHeight="1">
      <c r="A218" s="8" t="s">
        <v>264</v>
      </c>
      <c r="B218" s="17">
        <f>25*22</f>
        <v>550</v>
      </c>
      <c r="C218" s="17">
        <f t="shared" si="36"/>
        <v>82.5</v>
      </c>
      <c r="D218" s="9">
        <f t="shared" si="37"/>
        <v>467.5</v>
      </c>
      <c r="H218" s="3"/>
    </row>
    <row r="220" spans="1:8" ht="51.75" customHeight="1">
      <c r="A220" s="685" t="s">
        <v>322</v>
      </c>
      <c r="B220" s="685"/>
      <c r="C220" s="685"/>
      <c r="D220" s="685"/>
      <c r="E220" s="685"/>
      <c r="F220" s="685"/>
      <c r="G220" s="685"/>
      <c r="H220" s="685"/>
    </row>
    <row r="222" spans="1:8" ht="24" customHeight="1">
      <c r="A222" s="643" t="s">
        <v>323</v>
      </c>
      <c r="B222" s="644"/>
      <c r="C222" s="644"/>
      <c r="D222" s="645"/>
    </row>
    <row r="223" spans="1:8" ht="24" customHeight="1">
      <c r="A223" s="50" t="s">
        <v>251</v>
      </c>
      <c r="B223" s="51"/>
      <c r="C223" s="51"/>
      <c r="D223" s="53"/>
    </row>
    <row r="224" spans="1:8" ht="24" customHeight="1">
      <c r="A224" s="13" t="s">
        <v>259</v>
      </c>
      <c r="B224" s="14"/>
      <c r="C224" s="14"/>
      <c r="D224" s="22"/>
    </row>
    <row r="225" spans="1:8" ht="24" customHeight="1">
      <c r="A225" s="23" t="s">
        <v>260</v>
      </c>
      <c r="B225" s="24"/>
      <c r="C225" s="24"/>
      <c r="D225" s="26"/>
    </row>
    <row r="226" spans="1:8" ht="24" customHeight="1">
      <c r="A226" s="27" t="s">
        <v>275</v>
      </c>
      <c r="B226" s="28"/>
      <c r="C226" s="28"/>
      <c r="D226" s="30"/>
    </row>
    <row r="227" spans="1:8" ht="24" customHeight="1">
      <c r="A227" s="13" t="s">
        <v>262</v>
      </c>
      <c r="B227" s="14"/>
      <c r="C227" s="14"/>
      <c r="D227" s="22"/>
    </row>
    <row r="228" spans="1:8" ht="24" customHeight="1">
      <c r="A228" s="23" t="s">
        <v>263</v>
      </c>
      <c r="B228" s="24"/>
      <c r="C228" s="24"/>
      <c r="D228" s="26"/>
    </row>
    <row r="229" spans="1:8" ht="24" customHeight="1">
      <c r="A229" s="8" t="s">
        <v>264</v>
      </c>
      <c r="B229" s="17"/>
      <c r="C229" s="17"/>
      <c r="D229" s="9"/>
      <c r="H229" s="3"/>
    </row>
    <row r="231" spans="1:8" ht="46.5" customHeight="1">
      <c r="A231" s="685" t="s">
        <v>324</v>
      </c>
      <c r="B231" s="685"/>
      <c r="C231" s="685"/>
      <c r="D231" s="685"/>
      <c r="E231" s="685"/>
      <c r="F231" s="685"/>
      <c r="G231" s="685"/>
      <c r="H231" s="685"/>
    </row>
    <row r="233" spans="1:8" ht="24" customHeight="1">
      <c r="A233" s="643" t="s">
        <v>325</v>
      </c>
      <c r="B233" s="644"/>
      <c r="C233" s="644"/>
      <c r="D233" s="645"/>
    </row>
    <row r="234" spans="1:8" ht="24" customHeight="1">
      <c r="A234" s="50" t="s">
        <v>251</v>
      </c>
      <c r="B234" s="51"/>
      <c r="C234" s="51"/>
      <c r="D234" s="53"/>
    </row>
    <row r="235" spans="1:8" ht="24" customHeight="1">
      <c r="A235" s="13" t="s">
        <v>259</v>
      </c>
      <c r="B235" s="14"/>
      <c r="C235" s="14"/>
      <c r="D235" s="22"/>
    </row>
    <row r="236" spans="1:8" ht="24" customHeight="1">
      <c r="A236" s="23" t="s">
        <v>260</v>
      </c>
      <c r="B236" s="24"/>
      <c r="C236" s="24"/>
      <c r="D236" s="26"/>
    </row>
    <row r="237" spans="1:8" ht="24" customHeight="1">
      <c r="A237" s="27" t="s">
        <v>275</v>
      </c>
      <c r="B237" s="28"/>
      <c r="C237" s="28"/>
      <c r="D237" s="30"/>
    </row>
    <row r="238" spans="1:8" ht="24" customHeight="1">
      <c r="A238" s="13" t="s">
        <v>262</v>
      </c>
      <c r="B238" s="14"/>
      <c r="C238" s="14"/>
      <c r="D238" s="22"/>
    </row>
    <row r="239" spans="1:8" ht="24" customHeight="1">
      <c r="A239" s="23" t="s">
        <v>263</v>
      </c>
      <c r="B239" s="24"/>
      <c r="C239" s="24"/>
      <c r="D239" s="26"/>
    </row>
    <row r="240" spans="1:8" ht="24" customHeight="1">
      <c r="A240" s="8" t="s">
        <v>264</v>
      </c>
      <c r="B240" s="17"/>
      <c r="C240" s="17"/>
      <c r="D240" s="9"/>
      <c r="H240" s="77"/>
    </row>
    <row r="242" spans="1:8" ht="24" customHeight="1">
      <c r="A242" s="648" t="s">
        <v>304</v>
      </c>
      <c r="B242" s="649"/>
      <c r="C242" s="649"/>
      <c r="D242" s="649"/>
      <c r="E242" s="649"/>
      <c r="F242" s="650"/>
      <c r="G242" s="77"/>
    </row>
    <row r="243" spans="1:8" ht="24" customHeight="1">
      <c r="A243" s="50" t="s">
        <v>251</v>
      </c>
      <c r="B243" s="51" t="s">
        <v>326</v>
      </c>
      <c r="C243" s="51" t="s">
        <v>327</v>
      </c>
      <c r="D243" s="51" t="s">
        <v>328</v>
      </c>
      <c r="E243" s="51" t="s">
        <v>329</v>
      </c>
      <c r="F243" s="53" t="s">
        <v>281</v>
      </c>
    </row>
    <row r="244" spans="1:8" ht="24" customHeight="1">
      <c r="A244" s="13" t="s">
        <v>259</v>
      </c>
      <c r="B244" s="14" t="e">
        <f>D184</f>
        <v>#REF!</v>
      </c>
      <c r="C244" s="14">
        <f>D213</f>
        <v>318.75</v>
      </c>
      <c r="D244" s="14">
        <f>D224</f>
        <v>0</v>
      </c>
      <c r="E244" s="14">
        <f t="shared" ref="E244:E249" si="38">D235</f>
        <v>0</v>
      </c>
      <c r="F244" s="22" t="e">
        <f>SUM(B244:E244)</f>
        <v>#REF!</v>
      </c>
    </row>
    <row r="245" spans="1:8" ht="24" customHeight="1">
      <c r="A245" s="23" t="s">
        <v>260</v>
      </c>
      <c r="B245" s="24" t="e">
        <f t="shared" ref="B245:B249" si="39">D185</f>
        <v>#REF!</v>
      </c>
      <c r="C245" s="24">
        <f t="shared" ref="C245:C249" si="40">D214</f>
        <v>318.75</v>
      </c>
      <c r="D245" s="24">
        <f t="shared" ref="D245:D249" si="41">D225</f>
        <v>0</v>
      </c>
      <c r="E245" s="24">
        <f t="shared" si="38"/>
        <v>0</v>
      </c>
      <c r="F245" s="26" t="e">
        <f t="shared" ref="F245:F249" si="42">SUM(B245:E245)</f>
        <v>#REF!</v>
      </c>
    </row>
    <row r="246" spans="1:8" ht="24" customHeight="1">
      <c r="A246" s="27" t="s">
        <v>275</v>
      </c>
      <c r="B246" s="28" t="e">
        <f t="shared" si="39"/>
        <v>#REF!</v>
      </c>
      <c r="C246" s="28">
        <f t="shared" si="40"/>
        <v>467.5</v>
      </c>
      <c r="D246" s="28">
        <f t="shared" si="41"/>
        <v>0</v>
      </c>
      <c r="E246" s="28">
        <f t="shared" si="38"/>
        <v>0</v>
      </c>
      <c r="F246" s="30" t="e">
        <f t="shared" si="42"/>
        <v>#REF!</v>
      </c>
    </row>
    <row r="247" spans="1:8" ht="24" customHeight="1">
      <c r="A247" s="13" t="s">
        <v>262</v>
      </c>
      <c r="B247" s="14">
        <f t="shared" si="39"/>
        <v>108</v>
      </c>
      <c r="C247" s="14">
        <f t="shared" si="40"/>
        <v>318.75</v>
      </c>
      <c r="D247" s="14">
        <f t="shared" si="41"/>
        <v>0</v>
      </c>
      <c r="E247" s="14">
        <f t="shared" si="38"/>
        <v>0</v>
      </c>
      <c r="F247" s="22">
        <f t="shared" si="42"/>
        <v>426.75</v>
      </c>
    </row>
    <row r="248" spans="1:8" ht="24" customHeight="1">
      <c r="A248" s="23" t="s">
        <v>263</v>
      </c>
      <c r="B248" s="24">
        <f t="shared" si="39"/>
        <v>108</v>
      </c>
      <c r="C248" s="24">
        <f t="shared" si="40"/>
        <v>318.75</v>
      </c>
      <c r="D248" s="24">
        <f t="shared" si="41"/>
        <v>0</v>
      </c>
      <c r="E248" s="24">
        <f t="shared" si="38"/>
        <v>0</v>
      </c>
      <c r="F248" s="26">
        <f t="shared" si="42"/>
        <v>426.75</v>
      </c>
    </row>
    <row r="249" spans="1:8" ht="24" customHeight="1">
      <c r="A249" s="8" t="s">
        <v>264</v>
      </c>
      <c r="B249" s="17">
        <f t="shared" si="39"/>
        <v>158.4</v>
      </c>
      <c r="C249" s="17">
        <f t="shared" si="40"/>
        <v>467.5</v>
      </c>
      <c r="D249" s="17">
        <f t="shared" si="41"/>
        <v>0</v>
      </c>
      <c r="E249" s="17">
        <f t="shared" si="38"/>
        <v>0</v>
      </c>
      <c r="F249" s="9">
        <f t="shared" si="42"/>
        <v>625.9</v>
      </c>
      <c r="H249" s="3"/>
    </row>
    <row r="251" spans="1:8" ht="24" customHeight="1">
      <c r="A251" s="646" t="s">
        <v>282</v>
      </c>
      <c r="B251" s="646"/>
      <c r="C251" s="646"/>
      <c r="D251" s="646"/>
      <c r="E251" s="646"/>
      <c r="F251" s="646"/>
      <c r="G251" s="646"/>
      <c r="H251" s="646"/>
    </row>
    <row r="253" spans="1:8" ht="24" customHeight="1">
      <c r="A253" s="648" t="s">
        <v>282</v>
      </c>
      <c r="B253" s="649"/>
      <c r="C253" s="649"/>
      <c r="D253" s="649"/>
      <c r="E253" s="650"/>
    </row>
    <row r="254" spans="1:8" ht="24" customHeight="1">
      <c r="A254" s="50" t="s">
        <v>251</v>
      </c>
      <c r="B254" s="51" t="s">
        <v>330</v>
      </c>
      <c r="C254" s="51" t="s">
        <v>331</v>
      </c>
      <c r="D254" s="51" t="s">
        <v>332</v>
      </c>
      <c r="E254" s="53" t="s">
        <v>281</v>
      </c>
    </row>
    <row r="255" spans="1:8" ht="24" customHeight="1">
      <c r="A255" s="13" t="s">
        <v>259</v>
      </c>
      <c r="B255" s="14" t="e">
        <f t="shared" ref="B255:B260" si="43">E110</f>
        <v>#REF!</v>
      </c>
      <c r="C255" s="14" t="e">
        <f t="shared" ref="C255:C260" si="44">D152</f>
        <v>#REF!</v>
      </c>
      <c r="D255" s="14" t="e">
        <f>F244</f>
        <v>#REF!</v>
      </c>
      <c r="E255" s="22" t="e">
        <f t="shared" ref="E255:E260" si="45">SUM(B255:D255)</f>
        <v>#REF!</v>
      </c>
    </row>
    <row r="256" spans="1:8" ht="24" customHeight="1">
      <c r="A256" s="23" t="s">
        <v>260</v>
      </c>
      <c r="B256" s="24" t="e">
        <f t="shared" si="43"/>
        <v>#REF!</v>
      </c>
      <c r="C256" s="24" t="e">
        <f t="shared" si="44"/>
        <v>#REF!</v>
      </c>
      <c r="D256" s="24" t="e">
        <f t="shared" ref="D256:D260" si="46">F245</f>
        <v>#REF!</v>
      </c>
      <c r="E256" s="26" t="e">
        <f t="shared" si="45"/>
        <v>#REF!</v>
      </c>
    </row>
    <row r="257" spans="1:8" ht="24" customHeight="1">
      <c r="A257" s="78" t="s">
        <v>275</v>
      </c>
      <c r="B257" s="17" t="e">
        <f t="shared" si="43"/>
        <v>#REF!</v>
      </c>
      <c r="C257" s="17" t="e">
        <f t="shared" si="44"/>
        <v>#REF!</v>
      </c>
      <c r="D257" s="17" t="e">
        <f t="shared" si="46"/>
        <v>#REF!</v>
      </c>
      <c r="E257" s="9" t="e">
        <f t="shared" si="45"/>
        <v>#REF!</v>
      </c>
    </row>
    <row r="258" spans="1:8" ht="24" customHeight="1">
      <c r="A258" s="6" t="s">
        <v>262</v>
      </c>
      <c r="B258" s="79">
        <f t="shared" si="43"/>
        <v>0</v>
      </c>
      <c r="C258" s="79">
        <f t="shared" si="44"/>
        <v>0</v>
      </c>
      <c r="D258" s="79">
        <f t="shared" si="46"/>
        <v>426.75</v>
      </c>
      <c r="E258" s="7">
        <f t="shared" si="45"/>
        <v>426.75</v>
      </c>
    </row>
    <row r="259" spans="1:8" ht="24" customHeight="1">
      <c r="A259" s="23" t="s">
        <v>263</v>
      </c>
      <c r="B259" s="24">
        <f t="shared" si="43"/>
        <v>0</v>
      </c>
      <c r="C259" s="24">
        <f t="shared" si="44"/>
        <v>0</v>
      </c>
      <c r="D259" s="24">
        <f t="shared" si="46"/>
        <v>426.75</v>
      </c>
      <c r="E259" s="26">
        <f t="shared" si="45"/>
        <v>426.75</v>
      </c>
    </row>
    <row r="260" spans="1:8" ht="24" customHeight="1">
      <c r="A260" s="8" t="s">
        <v>264</v>
      </c>
      <c r="B260" s="17">
        <f t="shared" si="43"/>
        <v>0</v>
      </c>
      <c r="C260" s="17">
        <f t="shared" si="44"/>
        <v>0</v>
      </c>
      <c r="D260" s="17">
        <f t="shared" si="46"/>
        <v>625.9</v>
      </c>
      <c r="E260" s="9">
        <f t="shared" si="45"/>
        <v>625.9</v>
      </c>
      <c r="H260" s="3"/>
    </row>
    <row r="262" spans="1:8" ht="24" customHeight="1">
      <c r="A262" s="646" t="s">
        <v>333</v>
      </c>
      <c r="B262" s="646"/>
      <c r="C262" s="646"/>
      <c r="D262" s="646"/>
      <c r="E262" s="646"/>
      <c r="F262" s="646"/>
      <c r="G262" s="646"/>
      <c r="H262" s="646"/>
    </row>
    <row r="263" spans="1:8" ht="53.25" customHeight="1">
      <c r="A263" s="647" t="s">
        <v>334</v>
      </c>
      <c r="B263" s="647"/>
      <c r="C263" s="647"/>
      <c r="D263" s="647"/>
      <c r="E263" s="647"/>
      <c r="F263" s="647"/>
      <c r="G263" s="647"/>
      <c r="H263" s="647"/>
    </row>
    <row r="265" spans="1:8" ht="15.75">
      <c r="A265" s="683" t="s">
        <v>335</v>
      </c>
      <c r="B265" s="684"/>
    </row>
    <row r="266" spans="1:8" ht="15.75">
      <c r="A266" s="4" t="s">
        <v>336</v>
      </c>
      <c r="B266" s="5" t="s">
        <v>253</v>
      </c>
    </row>
    <row r="267" spans="1:8" ht="31.5">
      <c r="A267" s="81" t="s">
        <v>337</v>
      </c>
      <c r="B267" s="82"/>
    </row>
    <row r="268" spans="1:8" ht="31.5">
      <c r="A268" s="83" t="s">
        <v>338</v>
      </c>
      <c r="B268" s="84">
        <v>0.02</v>
      </c>
    </row>
    <row r="269" spans="1:8" ht="31.5">
      <c r="A269" s="83" t="s">
        <v>339</v>
      </c>
      <c r="B269" s="84">
        <v>0.03</v>
      </c>
    </row>
    <row r="270" spans="1:8" ht="32.25" customHeight="1">
      <c r="A270" s="85" t="s">
        <v>340</v>
      </c>
      <c r="B270" s="86"/>
    </row>
    <row r="271" spans="1:8" ht="30" customHeight="1">
      <c r="A271" s="87" t="s">
        <v>341</v>
      </c>
      <c r="B271" s="88"/>
    </row>
    <row r="272" spans="1:8" ht="24" customHeight="1">
      <c r="A272" s="4" t="s">
        <v>41</v>
      </c>
      <c r="B272" s="89">
        <f>SUM(B268:B271)</f>
        <v>0.05</v>
      </c>
      <c r="H272" s="3"/>
    </row>
    <row r="274" spans="1:8" ht="24" customHeight="1">
      <c r="A274" s="677" t="s">
        <v>342</v>
      </c>
      <c r="B274" s="678"/>
      <c r="C274" s="678"/>
      <c r="D274" s="678"/>
      <c r="E274" s="678"/>
      <c r="F274" s="678"/>
      <c r="G274" s="678"/>
      <c r="H274" s="678"/>
    </row>
    <row r="275" spans="1:8" ht="106.5" customHeight="1">
      <c r="A275" s="647" t="s">
        <v>343</v>
      </c>
      <c r="B275" s="647"/>
      <c r="C275" s="647"/>
      <c r="D275" s="647"/>
      <c r="E275" s="647"/>
      <c r="F275" s="647"/>
      <c r="G275" s="647"/>
      <c r="H275" s="647"/>
    </row>
    <row r="276" spans="1:8" ht="15.75"/>
    <row r="277" spans="1:8" ht="24" customHeight="1">
      <c r="A277" s="643" t="s">
        <v>344</v>
      </c>
      <c r="B277" s="644"/>
      <c r="C277" s="644"/>
      <c r="D277" s="645"/>
    </row>
    <row r="278" spans="1:8" ht="30" customHeight="1">
      <c r="A278" s="50" t="s">
        <v>251</v>
      </c>
      <c r="B278" s="51" t="s">
        <v>252</v>
      </c>
      <c r="C278" s="52" t="s">
        <v>285</v>
      </c>
      <c r="D278" s="53" t="s">
        <v>178</v>
      </c>
    </row>
    <row r="279" spans="1:8" ht="24" customHeight="1">
      <c r="A279" s="13" t="s">
        <v>259</v>
      </c>
      <c r="B279" s="14" t="e">
        <f>G70+(E255-D134)</f>
        <v>#REF!</v>
      </c>
      <c r="C279" s="36">
        <v>12</v>
      </c>
      <c r="D279" s="22" t="e">
        <f>B279/C279</f>
        <v>#REF!</v>
      </c>
      <c r="E279" s="90"/>
    </row>
    <row r="280" spans="1:8" ht="24" customHeight="1">
      <c r="A280" s="23" t="s">
        <v>260</v>
      </c>
      <c r="B280" s="24" t="e">
        <f>G71+(E256-D135)</f>
        <v>#REF!</v>
      </c>
      <c r="C280" s="38">
        <f>C279</f>
        <v>12</v>
      </c>
      <c r="D280" s="26" t="e">
        <f t="shared" ref="D280:D284" si="47">B280/C280</f>
        <v>#REF!</v>
      </c>
      <c r="E280" s="90"/>
    </row>
    <row r="281" spans="1:8" ht="24" customHeight="1">
      <c r="A281" s="27" t="s">
        <v>275</v>
      </c>
      <c r="B281" s="28" t="e">
        <f t="shared" ref="B281:B284" si="48">G72+(E257-D136)</f>
        <v>#REF!</v>
      </c>
      <c r="C281" s="45">
        <f>C280</f>
        <v>12</v>
      </c>
      <c r="D281" s="30" t="e">
        <f t="shared" si="47"/>
        <v>#REF!</v>
      </c>
      <c r="E281" s="90"/>
    </row>
    <row r="282" spans="1:8" ht="24" customHeight="1">
      <c r="A282" s="13" t="s">
        <v>262</v>
      </c>
      <c r="B282" s="14">
        <f t="shared" si="48"/>
        <v>426.75</v>
      </c>
      <c r="C282" s="36">
        <f>C281</f>
        <v>12</v>
      </c>
      <c r="D282" s="22">
        <f t="shared" si="47"/>
        <v>35.5625</v>
      </c>
    </row>
    <row r="283" spans="1:8" ht="24" customHeight="1">
      <c r="A283" s="23" t="s">
        <v>263</v>
      </c>
      <c r="B283" s="24">
        <f t="shared" si="48"/>
        <v>426.75</v>
      </c>
      <c r="C283" s="38">
        <f>C282</f>
        <v>12</v>
      </c>
      <c r="D283" s="26">
        <f t="shared" si="47"/>
        <v>35.5625</v>
      </c>
    </row>
    <row r="284" spans="1:8" ht="33" customHeight="1">
      <c r="A284" s="8" t="s">
        <v>264</v>
      </c>
      <c r="B284" s="17">
        <f t="shared" si="48"/>
        <v>625.9</v>
      </c>
      <c r="C284" s="40">
        <f>C283</f>
        <v>12</v>
      </c>
      <c r="D284" s="9">
        <f t="shared" si="47"/>
        <v>52.158333333333331</v>
      </c>
    </row>
    <row r="285" spans="1:8" ht="15.75"/>
    <row r="286" spans="1:8" ht="25.5" customHeight="1">
      <c r="A286" s="674" t="s">
        <v>345</v>
      </c>
      <c r="B286" s="675"/>
      <c r="C286" s="675"/>
      <c r="D286" s="676"/>
      <c r="E286" s="91"/>
    </row>
    <row r="287" spans="1:8" ht="28.5" customHeight="1">
      <c r="A287" s="50" t="s">
        <v>251</v>
      </c>
      <c r="B287" s="51" t="s">
        <v>252</v>
      </c>
      <c r="C287" s="92" t="s">
        <v>346</v>
      </c>
      <c r="D287" s="53" t="s">
        <v>178</v>
      </c>
    </row>
    <row r="288" spans="1:8" ht="24" customHeight="1">
      <c r="A288" s="13" t="s">
        <v>259</v>
      </c>
      <c r="B288" s="14" t="e">
        <f>D143</f>
        <v>#REF!</v>
      </c>
      <c r="C288" s="21">
        <v>0.5</v>
      </c>
      <c r="D288" s="22" t="e">
        <f>B288*C288</f>
        <v>#REF!</v>
      </c>
      <c r="E288" s="90" t="e">
        <f>D288+D318</f>
        <v>#REF!</v>
      </c>
    </row>
    <row r="289" spans="1:8" ht="24" customHeight="1">
      <c r="A289" s="23" t="s">
        <v>260</v>
      </c>
      <c r="B289" s="24" t="e">
        <f t="shared" ref="B289:B293" si="49">D144</f>
        <v>#REF!</v>
      </c>
      <c r="C289" s="25">
        <v>0.5</v>
      </c>
      <c r="D289" s="26" t="e">
        <f t="shared" ref="D289:D293" si="50">B289*C289</f>
        <v>#REF!</v>
      </c>
      <c r="E289" s="1" t="e">
        <f>E288*#REF!</f>
        <v>#REF!</v>
      </c>
    </row>
    <row r="290" spans="1:8" ht="24" customHeight="1">
      <c r="A290" s="27" t="s">
        <v>275</v>
      </c>
      <c r="B290" s="28" t="e">
        <f t="shared" si="49"/>
        <v>#REF!</v>
      </c>
      <c r="C290" s="29">
        <v>0.5</v>
      </c>
      <c r="D290" s="30" t="e">
        <f t="shared" si="50"/>
        <v>#REF!</v>
      </c>
      <c r="E290" s="1" t="e">
        <f>E288*#REF!</f>
        <v>#REF!</v>
      </c>
    </row>
    <row r="291" spans="1:8" ht="24" customHeight="1">
      <c r="A291" s="13" t="s">
        <v>262</v>
      </c>
      <c r="B291" s="14">
        <f t="shared" si="49"/>
        <v>0</v>
      </c>
      <c r="C291" s="21">
        <v>0.5</v>
      </c>
      <c r="D291" s="22">
        <f t="shared" si="50"/>
        <v>0</v>
      </c>
    </row>
    <row r="292" spans="1:8" ht="24" customHeight="1">
      <c r="A292" s="23" t="s">
        <v>263</v>
      </c>
      <c r="B292" s="24">
        <f t="shared" si="49"/>
        <v>0</v>
      </c>
      <c r="C292" s="25">
        <v>0.5</v>
      </c>
      <c r="D292" s="26">
        <f t="shared" si="50"/>
        <v>0</v>
      </c>
    </row>
    <row r="293" spans="1:8" ht="24" customHeight="1">
      <c r="A293" s="8" t="s">
        <v>264</v>
      </c>
      <c r="B293" s="17">
        <f t="shared" si="49"/>
        <v>0</v>
      </c>
      <c r="C293" s="31">
        <v>0.5</v>
      </c>
      <c r="D293" s="9">
        <f t="shared" si="50"/>
        <v>0</v>
      </c>
    </row>
    <row r="295" spans="1:8" ht="24" customHeight="1">
      <c r="A295" s="643" t="s">
        <v>347</v>
      </c>
      <c r="B295" s="644"/>
      <c r="C295" s="644"/>
      <c r="D295" s="645"/>
    </row>
    <row r="296" spans="1:8" ht="24" customHeight="1">
      <c r="A296" s="50" t="s">
        <v>251</v>
      </c>
      <c r="B296" s="51" t="s">
        <v>252</v>
      </c>
      <c r="C296" s="51" t="s">
        <v>253</v>
      </c>
      <c r="D296" s="53" t="s">
        <v>178</v>
      </c>
    </row>
    <row r="297" spans="1:8" ht="24" customHeight="1">
      <c r="A297" s="13" t="s">
        <v>259</v>
      </c>
      <c r="B297" s="14" t="e">
        <f>D279+D288</f>
        <v>#REF!</v>
      </c>
      <c r="C297" s="54">
        <f>$B$268</f>
        <v>0.02</v>
      </c>
      <c r="D297" s="22" t="e">
        <f>B297*C297</f>
        <v>#REF!</v>
      </c>
    </row>
    <row r="298" spans="1:8" ht="24" customHeight="1">
      <c r="A298" s="23" t="s">
        <v>260</v>
      </c>
      <c r="B298" s="24" t="e">
        <f t="shared" ref="B298:B302" si="51">D280+D289</f>
        <v>#REF!</v>
      </c>
      <c r="C298" s="55">
        <f t="shared" ref="C298:C302" si="52">$B$268</f>
        <v>0.02</v>
      </c>
      <c r="D298" s="26" t="e">
        <f t="shared" ref="D298:D302" si="53">B298*C298</f>
        <v>#REF!</v>
      </c>
    </row>
    <row r="299" spans="1:8" ht="24" customHeight="1">
      <c r="A299" s="27" t="s">
        <v>275</v>
      </c>
      <c r="B299" s="28" t="e">
        <f t="shared" si="51"/>
        <v>#REF!</v>
      </c>
      <c r="C299" s="56">
        <f t="shared" si="52"/>
        <v>0.02</v>
      </c>
      <c r="D299" s="30" t="e">
        <f t="shared" si="53"/>
        <v>#REF!</v>
      </c>
    </row>
    <row r="300" spans="1:8" ht="24" customHeight="1">
      <c r="A300" s="13" t="s">
        <v>262</v>
      </c>
      <c r="B300" s="14">
        <f t="shared" si="51"/>
        <v>35.5625</v>
      </c>
      <c r="C300" s="54">
        <f t="shared" si="52"/>
        <v>0.02</v>
      </c>
      <c r="D300" s="22">
        <f t="shared" si="53"/>
        <v>0.71125000000000005</v>
      </c>
    </row>
    <row r="301" spans="1:8" ht="24" customHeight="1">
      <c r="A301" s="23" t="s">
        <v>263</v>
      </c>
      <c r="B301" s="24">
        <f t="shared" si="51"/>
        <v>35.5625</v>
      </c>
      <c r="C301" s="55">
        <f t="shared" si="52"/>
        <v>0.02</v>
      </c>
      <c r="D301" s="26">
        <f t="shared" si="53"/>
        <v>0.71125000000000005</v>
      </c>
    </row>
    <row r="302" spans="1:8" ht="24" customHeight="1">
      <c r="A302" s="8" t="s">
        <v>264</v>
      </c>
      <c r="B302" s="17">
        <f t="shared" si="51"/>
        <v>52.158333333333331</v>
      </c>
      <c r="C302" s="57">
        <f t="shared" si="52"/>
        <v>0.02</v>
      </c>
      <c r="D302" s="9">
        <f t="shared" si="53"/>
        <v>1.0431666666666666</v>
      </c>
      <c r="H302" s="3"/>
    </row>
    <row r="304" spans="1:8" ht="24" customHeight="1">
      <c r="A304" s="677" t="s">
        <v>348</v>
      </c>
      <c r="B304" s="678"/>
      <c r="C304" s="678"/>
      <c r="D304" s="678"/>
      <c r="E304" s="678"/>
      <c r="F304" s="678"/>
      <c r="G304" s="678"/>
      <c r="H304" s="678"/>
    </row>
    <row r="305" spans="1:8" ht="101.25" customHeight="1">
      <c r="A305" s="647" t="s">
        <v>349</v>
      </c>
      <c r="B305" s="647"/>
      <c r="C305" s="647"/>
      <c r="D305" s="647"/>
      <c r="E305" s="647"/>
      <c r="F305" s="647"/>
      <c r="G305" s="647"/>
      <c r="H305" s="647"/>
    </row>
    <row r="306" spans="1:8" ht="15.75"/>
    <row r="307" spans="1:8" ht="24" customHeight="1">
      <c r="A307" s="643" t="s">
        <v>350</v>
      </c>
      <c r="B307" s="644"/>
      <c r="C307" s="644"/>
      <c r="D307" s="645"/>
    </row>
    <row r="308" spans="1:8" ht="33" customHeight="1">
      <c r="A308" s="50" t="s">
        <v>251</v>
      </c>
      <c r="B308" s="51" t="s">
        <v>252</v>
      </c>
      <c r="C308" s="52" t="s">
        <v>285</v>
      </c>
      <c r="D308" s="53" t="s">
        <v>178</v>
      </c>
    </row>
    <row r="309" spans="1:8" ht="24" customHeight="1">
      <c r="A309" s="13" t="s">
        <v>259</v>
      </c>
      <c r="B309" s="14" t="e">
        <f t="shared" ref="B309:B314" si="54">G70+E255</f>
        <v>#REF!</v>
      </c>
      <c r="C309" s="36">
        <v>12</v>
      </c>
      <c r="D309" s="22" t="e">
        <f>B309/C309</f>
        <v>#REF!</v>
      </c>
    </row>
    <row r="310" spans="1:8" ht="24" customHeight="1">
      <c r="A310" s="23" t="s">
        <v>260</v>
      </c>
      <c r="B310" s="24" t="e">
        <f t="shared" si="54"/>
        <v>#REF!</v>
      </c>
      <c r="C310" s="38">
        <v>12</v>
      </c>
      <c r="D310" s="26" t="e">
        <f t="shared" ref="D310:D314" si="55">B310/C310</f>
        <v>#REF!</v>
      </c>
    </row>
    <row r="311" spans="1:8" ht="24" customHeight="1">
      <c r="A311" s="27" t="s">
        <v>275</v>
      </c>
      <c r="B311" s="28" t="e">
        <f t="shared" si="54"/>
        <v>#REF!</v>
      </c>
      <c r="C311" s="45">
        <v>12</v>
      </c>
      <c r="D311" s="30" t="e">
        <f t="shared" si="55"/>
        <v>#REF!</v>
      </c>
    </row>
    <row r="312" spans="1:8" ht="24" customHeight="1">
      <c r="A312" s="13" t="s">
        <v>262</v>
      </c>
      <c r="B312" s="14">
        <f t="shared" si="54"/>
        <v>426.75</v>
      </c>
      <c r="C312" s="36">
        <v>12</v>
      </c>
      <c r="D312" s="22">
        <f t="shared" si="55"/>
        <v>35.5625</v>
      </c>
    </row>
    <row r="313" spans="1:8" ht="24" customHeight="1">
      <c r="A313" s="23" t="s">
        <v>263</v>
      </c>
      <c r="B313" s="24">
        <f t="shared" si="54"/>
        <v>426.75</v>
      </c>
      <c r="C313" s="38">
        <v>12</v>
      </c>
      <c r="D313" s="26">
        <f t="shared" si="55"/>
        <v>35.5625</v>
      </c>
    </row>
    <row r="314" spans="1:8" ht="36.75" customHeight="1">
      <c r="A314" s="8" t="s">
        <v>264</v>
      </c>
      <c r="B314" s="17">
        <f t="shared" si="54"/>
        <v>625.9</v>
      </c>
      <c r="C314" s="40">
        <v>12</v>
      </c>
      <c r="D314" s="9">
        <f t="shared" si="55"/>
        <v>52.158333333333331</v>
      </c>
    </row>
    <row r="315" spans="1:8" ht="15.75"/>
    <row r="316" spans="1:8" ht="31.5" customHeight="1">
      <c r="A316" s="674" t="s">
        <v>351</v>
      </c>
      <c r="B316" s="675"/>
      <c r="C316" s="675"/>
      <c r="D316" s="676"/>
    </row>
    <row r="317" spans="1:8" ht="34.5" customHeight="1">
      <c r="A317" s="50" t="s">
        <v>251</v>
      </c>
      <c r="B317" s="51" t="s">
        <v>252</v>
      </c>
      <c r="C317" s="92" t="s">
        <v>346</v>
      </c>
      <c r="D317" s="53" t="s">
        <v>178</v>
      </c>
    </row>
    <row r="318" spans="1:8" ht="24" customHeight="1">
      <c r="A318" s="13" t="s">
        <v>259</v>
      </c>
      <c r="B318" s="14" t="e">
        <f t="shared" ref="B318:B323" si="56">D143</f>
        <v>#REF!</v>
      </c>
      <c r="C318" s="21">
        <v>0.5</v>
      </c>
      <c r="D318" s="22" t="e">
        <f>B318*C318</f>
        <v>#REF!</v>
      </c>
      <c r="E318" s="1" t="e">
        <f>D318/12</f>
        <v>#REF!</v>
      </c>
    </row>
    <row r="319" spans="1:8" ht="24" customHeight="1">
      <c r="A319" s="23" t="s">
        <v>260</v>
      </c>
      <c r="B319" s="24" t="e">
        <f t="shared" si="56"/>
        <v>#REF!</v>
      </c>
      <c r="C319" s="25">
        <v>0.5</v>
      </c>
      <c r="D319" s="26" t="e">
        <f t="shared" ref="D319:D323" si="57">B319*C319</f>
        <v>#REF!</v>
      </c>
      <c r="E319" s="1" t="e">
        <f>D318*#REF!</f>
        <v>#REF!</v>
      </c>
    </row>
    <row r="320" spans="1:8" ht="24" customHeight="1">
      <c r="A320" s="27" t="s">
        <v>275</v>
      </c>
      <c r="B320" s="28" t="e">
        <f t="shared" si="56"/>
        <v>#REF!</v>
      </c>
      <c r="C320" s="29">
        <v>0.5</v>
      </c>
      <c r="D320" s="30" t="e">
        <f t="shared" si="57"/>
        <v>#REF!</v>
      </c>
    </row>
    <row r="321" spans="1:8" ht="24" customHeight="1">
      <c r="A321" s="13" t="s">
        <v>262</v>
      </c>
      <c r="B321" s="14">
        <f t="shared" si="56"/>
        <v>0</v>
      </c>
      <c r="C321" s="21">
        <v>0.5</v>
      </c>
      <c r="D321" s="22">
        <f t="shared" si="57"/>
        <v>0</v>
      </c>
    </row>
    <row r="322" spans="1:8" ht="24" customHeight="1">
      <c r="A322" s="23" t="s">
        <v>263</v>
      </c>
      <c r="B322" s="24">
        <f t="shared" si="56"/>
        <v>0</v>
      </c>
      <c r="C322" s="25">
        <v>0.5</v>
      </c>
      <c r="D322" s="26">
        <f t="shared" si="57"/>
        <v>0</v>
      </c>
    </row>
    <row r="323" spans="1:8" ht="24" customHeight="1">
      <c r="A323" s="8" t="s">
        <v>264</v>
      </c>
      <c r="B323" s="17">
        <f t="shared" si="56"/>
        <v>0</v>
      </c>
      <c r="C323" s="31">
        <v>0.5</v>
      </c>
      <c r="D323" s="9">
        <f t="shared" si="57"/>
        <v>0</v>
      </c>
    </row>
    <row r="325" spans="1:8" ht="24" customHeight="1">
      <c r="A325" s="643" t="s">
        <v>352</v>
      </c>
      <c r="B325" s="644"/>
      <c r="C325" s="644"/>
      <c r="D325" s="645"/>
    </row>
    <row r="326" spans="1:8" ht="24" customHeight="1">
      <c r="A326" s="50" t="s">
        <v>251</v>
      </c>
      <c r="B326" s="51" t="s">
        <v>252</v>
      </c>
      <c r="C326" s="51" t="s">
        <v>253</v>
      </c>
      <c r="D326" s="53" t="s">
        <v>178</v>
      </c>
    </row>
    <row r="327" spans="1:8" ht="24" customHeight="1">
      <c r="A327" s="13" t="s">
        <v>259</v>
      </c>
      <c r="B327" s="14" t="e">
        <f>D309+D318</f>
        <v>#REF!</v>
      </c>
      <c r="C327" s="54">
        <f>$B$269</f>
        <v>0.03</v>
      </c>
      <c r="D327" s="22" t="e">
        <f>B327*C327</f>
        <v>#REF!</v>
      </c>
    </row>
    <row r="328" spans="1:8" ht="24" customHeight="1">
      <c r="A328" s="23" t="s">
        <v>260</v>
      </c>
      <c r="B328" s="24" t="e">
        <f t="shared" ref="B328:B332" si="58">D310+D319</f>
        <v>#REF!</v>
      </c>
      <c r="C328" s="55">
        <f t="shared" ref="C328:C332" si="59">$B$269</f>
        <v>0.03</v>
      </c>
      <c r="D328" s="26" t="e">
        <f t="shared" ref="D328:D332" si="60">B328*C328</f>
        <v>#REF!</v>
      </c>
    </row>
    <row r="329" spans="1:8" ht="24" customHeight="1">
      <c r="A329" s="8" t="s">
        <v>275</v>
      </c>
      <c r="B329" s="17" t="e">
        <f t="shared" si="58"/>
        <v>#REF!</v>
      </c>
      <c r="C329" s="57">
        <f t="shared" si="59"/>
        <v>0.03</v>
      </c>
      <c r="D329" s="9" t="e">
        <f t="shared" si="60"/>
        <v>#REF!</v>
      </c>
    </row>
    <row r="330" spans="1:8" ht="24" customHeight="1">
      <c r="A330" s="13" t="s">
        <v>262</v>
      </c>
      <c r="B330" s="14">
        <f t="shared" si="58"/>
        <v>35.5625</v>
      </c>
      <c r="C330" s="54">
        <f t="shared" si="59"/>
        <v>0.03</v>
      </c>
      <c r="D330" s="22">
        <f t="shared" si="60"/>
        <v>1.066875</v>
      </c>
    </row>
    <row r="331" spans="1:8" ht="24" customHeight="1">
      <c r="A331" s="23" t="s">
        <v>263</v>
      </c>
      <c r="B331" s="24">
        <f t="shared" si="58"/>
        <v>35.5625</v>
      </c>
      <c r="C331" s="55">
        <f t="shared" si="59"/>
        <v>0.03</v>
      </c>
      <c r="D331" s="26">
        <f t="shared" si="60"/>
        <v>1.066875</v>
      </c>
    </row>
    <row r="332" spans="1:8" ht="24" customHeight="1">
      <c r="A332" s="8" t="s">
        <v>264</v>
      </c>
      <c r="B332" s="17">
        <f t="shared" si="58"/>
        <v>52.158333333333331</v>
      </c>
      <c r="C332" s="57">
        <f t="shared" si="59"/>
        <v>0.03</v>
      </c>
      <c r="D332" s="9">
        <f t="shared" si="60"/>
        <v>1.5647499999999999</v>
      </c>
      <c r="H332" s="3"/>
    </row>
    <row r="334" spans="1:8" ht="24" customHeight="1">
      <c r="A334" s="677" t="s">
        <v>353</v>
      </c>
      <c r="B334" s="678"/>
      <c r="C334" s="678"/>
      <c r="D334" s="678"/>
      <c r="E334" s="678"/>
      <c r="F334" s="678"/>
      <c r="G334" s="678"/>
      <c r="H334" s="678"/>
    </row>
    <row r="335" spans="1:8" ht="75" customHeight="1">
      <c r="A335" s="682" t="s">
        <v>354</v>
      </c>
      <c r="B335" s="682"/>
      <c r="C335" s="682"/>
      <c r="D335" s="682"/>
      <c r="E335" s="682"/>
      <c r="F335" s="682"/>
      <c r="G335" s="682"/>
      <c r="H335" s="682"/>
    </row>
    <row r="336" spans="1:8" ht="20.25" customHeight="1"/>
    <row r="337" spans="1:5" ht="24" customHeight="1">
      <c r="A337" s="648" t="s">
        <v>355</v>
      </c>
      <c r="B337" s="649"/>
      <c r="C337" s="649"/>
      <c r="D337" s="649"/>
      <c r="E337" s="650"/>
    </row>
    <row r="338" spans="1:5" ht="46.5" customHeight="1">
      <c r="A338" s="50" t="s">
        <v>251</v>
      </c>
      <c r="B338" s="52" t="s">
        <v>356</v>
      </c>
      <c r="C338" s="52" t="s">
        <v>357</v>
      </c>
      <c r="D338" s="52" t="s">
        <v>358</v>
      </c>
      <c r="E338" s="53" t="s">
        <v>178</v>
      </c>
    </row>
    <row r="339" spans="1:5" ht="24" customHeight="1">
      <c r="A339" s="13" t="s">
        <v>259</v>
      </c>
      <c r="B339" s="93" t="e">
        <f t="shared" ref="B339:B344" si="61">-D83</f>
        <v>#REF!</v>
      </c>
      <c r="C339" s="93" t="e">
        <f t="shared" ref="C339:C344" si="62">-D92</f>
        <v>#REF!</v>
      </c>
      <c r="D339" s="93" t="e">
        <f t="shared" ref="D339:D344" si="63">-E101</f>
        <v>#REF!</v>
      </c>
      <c r="E339" s="94" t="e">
        <f t="shared" ref="E339:E344" si="64">SUM(B339:D339)</f>
        <v>#REF!</v>
      </c>
    </row>
    <row r="340" spans="1:5" ht="24" customHeight="1">
      <c r="A340" s="23" t="s">
        <v>260</v>
      </c>
      <c r="B340" s="95" t="e">
        <f t="shared" si="61"/>
        <v>#REF!</v>
      </c>
      <c r="C340" s="95" t="e">
        <f t="shared" si="62"/>
        <v>#REF!</v>
      </c>
      <c r="D340" s="95" t="e">
        <f t="shared" si="63"/>
        <v>#REF!</v>
      </c>
      <c r="E340" s="96" t="e">
        <f t="shared" si="64"/>
        <v>#REF!</v>
      </c>
    </row>
    <row r="341" spans="1:5" ht="24" customHeight="1">
      <c r="A341" s="27" t="s">
        <v>275</v>
      </c>
      <c r="B341" s="97" t="e">
        <f t="shared" si="61"/>
        <v>#REF!</v>
      </c>
      <c r="C341" s="97" t="e">
        <f t="shared" si="62"/>
        <v>#REF!</v>
      </c>
      <c r="D341" s="97" t="e">
        <f t="shared" si="63"/>
        <v>#REF!</v>
      </c>
      <c r="E341" s="98" t="e">
        <f t="shared" si="64"/>
        <v>#REF!</v>
      </c>
    </row>
    <row r="342" spans="1:5" ht="24" customHeight="1">
      <c r="A342" s="13" t="s">
        <v>262</v>
      </c>
      <c r="B342" s="93">
        <f t="shared" si="61"/>
        <v>0</v>
      </c>
      <c r="C342" s="93">
        <f t="shared" si="62"/>
        <v>0</v>
      </c>
      <c r="D342" s="93">
        <f t="shared" si="63"/>
        <v>0</v>
      </c>
      <c r="E342" s="94">
        <f t="shared" si="64"/>
        <v>0</v>
      </c>
    </row>
    <row r="343" spans="1:5" ht="24" customHeight="1">
      <c r="A343" s="23" t="s">
        <v>263</v>
      </c>
      <c r="B343" s="95">
        <f t="shared" si="61"/>
        <v>0</v>
      </c>
      <c r="C343" s="95">
        <f t="shared" si="62"/>
        <v>0</v>
      </c>
      <c r="D343" s="95">
        <f t="shared" si="63"/>
        <v>0</v>
      </c>
      <c r="E343" s="96">
        <f t="shared" si="64"/>
        <v>0</v>
      </c>
    </row>
    <row r="344" spans="1:5" ht="24" customHeight="1">
      <c r="A344" s="8" t="s">
        <v>264</v>
      </c>
      <c r="B344" s="99">
        <f t="shared" si="61"/>
        <v>0</v>
      </c>
      <c r="C344" s="99">
        <f t="shared" si="62"/>
        <v>0</v>
      </c>
      <c r="D344" s="99">
        <f t="shared" si="63"/>
        <v>0</v>
      </c>
      <c r="E344" s="100">
        <f t="shared" si="64"/>
        <v>0</v>
      </c>
    </row>
    <row r="346" spans="1:5" ht="24" customHeight="1">
      <c r="A346" s="643" t="s">
        <v>359</v>
      </c>
      <c r="B346" s="644"/>
      <c r="C346" s="644"/>
      <c r="D346" s="645"/>
    </row>
    <row r="347" spans="1:5" ht="24" customHeight="1">
      <c r="A347" s="50" t="s">
        <v>251</v>
      </c>
      <c r="B347" s="51" t="s">
        <v>267</v>
      </c>
      <c r="C347" s="51" t="s">
        <v>253</v>
      </c>
      <c r="D347" s="53" t="s">
        <v>178</v>
      </c>
    </row>
    <row r="348" spans="1:5" ht="24" customHeight="1">
      <c r="A348" s="13" t="s">
        <v>259</v>
      </c>
      <c r="B348" s="93" t="e">
        <f t="shared" ref="B348:B353" si="65">E339</f>
        <v>#REF!</v>
      </c>
      <c r="C348" s="54">
        <f>$B$270</f>
        <v>0</v>
      </c>
      <c r="D348" s="94" t="e">
        <f>B348*C348</f>
        <v>#REF!</v>
      </c>
    </row>
    <row r="349" spans="1:5" ht="24" customHeight="1">
      <c r="A349" s="23" t="s">
        <v>260</v>
      </c>
      <c r="B349" s="95" t="e">
        <f t="shared" si="65"/>
        <v>#REF!</v>
      </c>
      <c r="C349" s="55">
        <f t="shared" ref="C349:C353" si="66">$B$270</f>
        <v>0</v>
      </c>
      <c r="D349" s="96" t="e">
        <f t="shared" ref="D349:D353" si="67">B349*C349</f>
        <v>#REF!</v>
      </c>
    </row>
    <row r="350" spans="1:5" ht="24" customHeight="1">
      <c r="A350" s="8" t="s">
        <v>275</v>
      </c>
      <c r="B350" s="99" t="e">
        <f t="shared" si="65"/>
        <v>#REF!</v>
      </c>
      <c r="C350" s="57">
        <f t="shared" si="66"/>
        <v>0</v>
      </c>
      <c r="D350" s="100" t="e">
        <f t="shared" si="67"/>
        <v>#REF!</v>
      </c>
    </row>
    <row r="351" spans="1:5" ht="24" customHeight="1">
      <c r="A351" s="13" t="s">
        <v>262</v>
      </c>
      <c r="B351" s="93">
        <f t="shared" si="65"/>
        <v>0</v>
      </c>
      <c r="C351" s="54">
        <f t="shared" si="66"/>
        <v>0</v>
      </c>
      <c r="D351" s="94">
        <f t="shared" si="67"/>
        <v>0</v>
      </c>
    </row>
    <row r="352" spans="1:5" ht="24" customHeight="1">
      <c r="A352" s="23" t="s">
        <v>263</v>
      </c>
      <c r="B352" s="95">
        <f t="shared" si="65"/>
        <v>0</v>
      </c>
      <c r="C352" s="55">
        <f t="shared" si="66"/>
        <v>0</v>
      </c>
      <c r="D352" s="96">
        <f t="shared" si="67"/>
        <v>0</v>
      </c>
    </row>
    <row r="353" spans="1:8" ht="24" customHeight="1">
      <c r="A353" s="8" t="s">
        <v>264</v>
      </c>
      <c r="B353" s="99">
        <f t="shared" si="65"/>
        <v>0</v>
      </c>
      <c r="C353" s="57">
        <f t="shared" si="66"/>
        <v>0</v>
      </c>
      <c r="D353" s="100">
        <f t="shared" si="67"/>
        <v>0</v>
      </c>
      <c r="H353" s="3"/>
    </row>
    <row r="355" spans="1:8" ht="24" customHeight="1">
      <c r="A355" s="646" t="s">
        <v>333</v>
      </c>
      <c r="B355" s="646"/>
      <c r="C355" s="646"/>
      <c r="D355" s="646"/>
      <c r="E355" s="646"/>
      <c r="F355" s="646"/>
      <c r="G355" s="646"/>
      <c r="H355" s="646"/>
    </row>
    <row r="357" spans="1:8" ht="24" customHeight="1">
      <c r="A357" s="648" t="s">
        <v>333</v>
      </c>
      <c r="B357" s="649"/>
      <c r="C357" s="649"/>
      <c r="D357" s="649"/>
      <c r="E357" s="650"/>
    </row>
    <row r="358" spans="1:8" ht="24" customHeight="1">
      <c r="A358" s="50" t="s">
        <v>251</v>
      </c>
      <c r="B358" s="51" t="s">
        <v>360</v>
      </c>
      <c r="C358" s="51" t="s">
        <v>361</v>
      </c>
      <c r="D358" s="51" t="s">
        <v>362</v>
      </c>
      <c r="E358" s="53" t="s">
        <v>281</v>
      </c>
    </row>
    <row r="359" spans="1:8" ht="24" customHeight="1">
      <c r="A359" s="13" t="s">
        <v>259</v>
      </c>
      <c r="B359" s="14" t="e">
        <f t="shared" ref="B359:B364" si="68">D297</f>
        <v>#REF!</v>
      </c>
      <c r="C359" s="14" t="e">
        <f t="shared" ref="C359:C364" si="69">D327</f>
        <v>#REF!</v>
      </c>
      <c r="D359" s="93" t="e">
        <f>D348</f>
        <v>#REF!</v>
      </c>
      <c r="E359" s="22" t="e">
        <f t="shared" ref="E359:E364" si="70">SUM(B359:D359)</f>
        <v>#REF!</v>
      </c>
    </row>
    <row r="360" spans="1:8" ht="24" customHeight="1">
      <c r="A360" s="23" t="s">
        <v>260</v>
      </c>
      <c r="B360" s="24" t="e">
        <f t="shared" si="68"/>
        <v>#REF!</v>
      </c>
      <c r="C360" s="24" t="e">
        <f t="shared" si="69"/>
        <v>#REF!</v>
      </c>
      <c r="D360" s="95" t="e">
        <f t="shared" ref="D360:D364" si="71">D349</f>
        <v>#REF!</v>
      </c>
      <c r="E360" s="26" t="e">
        <f t="shared" si="70"/>
        <v>#REF!</v>
      </c>
    </row>
    <row r="361" spans="1:8" ht="24" customHeight="1">
      <c r="A361" s="27" t="s">
        <v>275</v>
      </c>
      <c r="B361" s="28" t="e">
        <f t="shared" si="68"/>
        <v>#REF!</v>
      </c>
      <c r="C361" s="28" t="e">
        <f t="shared" si="69"/>
        <v>#REF!</v>
      </c>
      <c r="D361" s="97" t="e">
        <f t="shared" si="71"/>
        <v>#REF!</v>
      </c>
      <c r="E361" s="30" t="e">
        <f t="shared" si="70"/>
        <v>#REF!</v>
      </c>
    </row>
    <row r="362" spans="1:8" ht="24" customHeight="1">
      <c r="A362" s="13" t="s">
        <v>262</v>
      </c>
      <c r="B362" s="14">
        <f t="shared" si="68"/>
        <v>0.71125000000000005</v>
      </c>
      <c r="C362" s="14">
        <f t="shared" si="69"/>
        <v>1.066875</v>
      </c>
      <c r="D362" s="93">
        <f t="shared" si="71"/>
        <v>0</v>
      </c>
      <c r="E362" s="22">
        <f t="shared" si="70"/>
        <v>1.7781250000000002</v>
      </c>
    </row>
    <row r="363" spans="1:8" ht="24" customHeight="1">
      <c r="A363" s="23" t="s">
        <v>263</v>
      </c>
      <c r="B363" s="24">
        <f t="shared" si="68"/>
        <v>0.71125000000000005</v>
      </c>
      <c r="C363" s="24">
        <f t="shared" si="69"/>
        <v>1.066875</v>
      </c>
      <c r="D363" s="95">
        <f t="shared" si="71"/>
        <v>0</v>
      </c>
      <c r="E363" s="26">
        <f t="shared" si="70"/>
        <v>1.7781250000000002</v>
      </c>
    </row>
    <row r="364" spans="1:8" ht="24" customHeight="1">
      <c r="A364" s="8" t="s">
        <v>264</v>
      </c>
      <c r="B364" s="17">
        <f t="shared" si="68"/>
        <v>1.0431666666666666</v>
      </c>
      <c r="C364" s="17">
        <f t="shared" si="69"/>
        <v>1.5647499999999999</v>
      </c>
      <c r="D364" s="99">
        <f t="shared" si="71"/>
        <v>0</v>
      </c>
      <c r="E364" s="9">
        <f t="shared" si="70"/>
        <v>2.6079166666666662</v>
      </c>
      <c r="H364" s="3"/>
    </row>
    <row r="366" spans="1:8" ht="24" customHeight="1">
      <c r="A366" s="646" t="s">
        <v>363</v>
      </c>
      <c r="B366" s="646"/>
      <c r="C366" s="646"/>
      <c r="D366" s="646"/>
      <c r="E366" s="646"/>
      <c r="F366" s="646"/>
      <c r="G366" s="646"/>
      <c r="H366" s="646"/>
    </row>
    <row r="367" spans="1:8" ht="144" customHeight="1">
      <c r="A367" s="647" t="s">
        <v>364</v>
      </c>
      <c r="B367" s="647"/>
      <c r="C367" s="647"/>
      <c r="D367" s="647"/>
      <c r="E367" s="647"/>
      <c r="F367" s="647"/>
      <c r="G367" s="647"/>
      <c r="H367" s="647"/>
    </row>
    <row r="369" spans="1:7" ht="24" customHeight="1">
      <c r="A369" s="674" t="s">
        <v>365</v>
      </c>
      <c r="B369" s="675"/>
      <c r="C369" s="675"/>
      <c r="D369" s="675"/>
      <c r="E369" s="675"/>
      <c r="F369" s="675"/>
      <c r="G369" s="676"/>
    </row>
    <row r="370" spans="1:7" ht="15.75">
      <c r="A370" s="674" t="s">
        <v>366</v>
      </c>
      <c r="B370" s="675"/>
      <c r="C370" s="675"/>
      <c r="D370" s="675"/>
      <c r="E370" s="675"/>
      <c r="F370" s="675"/>
      <c r="G370" s="676"/>
    </row>
    <row r="371" spans="1:7" ht="24" customHeight="1">
      <c r="A371" s="654" t="s">
        <v>251</v>
      </c>
      <c r="B371" s="654" t="s">
        <v>367</v>
      </c>
      <c r="C371" s="654" t="s">
        <v>368</v>
      </c>
      <c r="D371" s="58" t="s">
        <v>369</v>
      </c>
      <c r="E371" s="59"/>
      <c r="F371" s="58" t="s">
        <v>370</v>
      </c>
      <c r="G371" s="59"/>
    </row>
    <row r="372" spans="1:7" ht="31.5" customHeight="1">
      <c r="A372" s="655"/>
      <c r="B372" s="655"/>
      <c r="C372" s="655"/>
      <c r="D372" s="101" t="s">
        <v>371</v>
      </c>
      <c r="E372" s="101" t="s">
        <v>372</v>
      </c>
      <c r="F372" s="101" t="s">
        <v>371</v>
      </c>
      <c r="G372" s="101" t="s">
        <v>372</v>
      </c>
    </row>
    <row r="373" spans="1:7" ht="24" customHeight="1">
      <c r="A373" s="102" t="s">
        <v>373</v>
      </c>
      <c r="B373" s="103"/>
      <c r="C373" s="104">
        <v>30</v>
      </c>
      <c r="D373" s="105">
        <v>0.5</v>
      </c>
      <c r="E373" s="106">
        <f t="shared" ref="E373:E384" si="72">(B373*C373)*D373</f>
        <v>0</v>
      </c>
      <c r="F373" s="107">
        <f>(252/365)</f>
        <v>0.69041095890410964</v>
      </c>
      <c r="G373" s="106">
        <f t="shared" ref="G373:G384" si="73">(B373*C373)*F373</f>
        <v>0</v>
      </c>
    </row>
    <row r="374" spans="1:7" ht="24" customHeight="1">
      <c r="A374" s="85" t="s">
        <v>374</v>
      </c>
      <c r="B374" s="108"/>
      <c r="C374" s="109">
        <v>1</v>
      </c>
      <c r="D374" s="110">
        <v>1</v>
      </c>
      <c r="E374" s="111">
        <f t="shared" si="72"/>
        <v>0</v>
      </c>
      <c r="F374" s="112">
        <v>1</v>
      </c>
      <c r="G374" s="111">
        <f t="shared" si="73"/>
        <v>0</v>
      </c>
    </row>
    <row r="375" spans="1:7" ht="24" customHeight="1">
      <c r="A375" s="85" t="s">
        <v>375</v>
      </c>
      <c r="B375" s="108"/>
      <c r="C375" s="109">
        <v>15</v>
      </c>
      <c r="D375" s="110">
        <v>0.5</v>
      </c>
      <c r="E375" s="111">
        <f t="shared" si="72"/>
        <v>0</v>
      </c>
      <c r="F375" s="112">
        <f>(252/365)</f>
        <v>0.69041095890410964</v>
      </c>
      <c r="G375" s="111">
        <f t="shared" si="73"/>
        <v>0</v>
      </c>
    </row>
    <row r="376" spans="1:7" ht="24" customHeight="1">
      <c r="A376" s="85" t="s">
        <v>376</v>
      </c>
      <c r="B376" s="108"/>
      <c r="C376" s="109">
        <v>5</v>
      </c>
      <c r="D376" s="110">
        <v>0.5</v>
      </c>
      <c r="E376" s="111">
        <f t="shared" si="72"/>
        <v>0</v>
      </c>
      <c r="F376" s="112">
        <f>(252/365)</f>
        <v>0.69041095890410964</v>
      </c>
      <c r="G376" s="111">
        <f t="shared" si="73"/>
        <v>0</v>
      </c>
    </row>
    <row r="377" spans="1:7" ht="24" customHeight="1">
      <c r="A377" s="85" t="s">
        <v>377</v>
      </c>
      <c r="B377" s="108"/>
      <c r="C377" s="109">
        <v>2</v>
      </c>
      <c r="D377" s="110">
        <v>1</v>
      </c>
      <c r="E377" s="111">
        <f t="shared" si="72"/>
        <v>0</v>
      </c>
      <c r="F377" s="112">
        <v>1</v>
      </c>
      <c r="G377" s="111">
        <f t="shared" si="73"/>
        <v>0</v>
      </c>
    </row>
    <row r="378" spans="1:7" ht="24" customHeight="1">
      <c r="A378" s="85" t="s">
        <v>378</v>
      </c>
      <c r="B378" s="108"/>
      <c r="C378" s="109">
        <v>2</v>
      </c>
      <c r="D378" s="110">
        <v>0.5</v>
      </c>
      <c r="E378" s="111">
        <f t="shared" si="72"/>
        <v>0</v>
      </c>
      <c r="F378" s="112">
        <f>(252/365)</f>
        <v>0.69041095890410964</v>
      </c>
      <c r="G378" s="111">
        <f t="shared" si="73"/>
        <v>0</v>
      </c>
    </row>
    <row r="379" spans="1:7" ht="24" customHeight="1">
      <c r="A379" s="85" t="s">
        <v>379</v>
      </c>
      <c r="B379" s="108"/>
      <c r="C379" s="109">
        <v>3</v>
      </c>
      <c r="D379" s="110">
        <v>0.5</v>
      </c>
      <c r="E379" s="111">
        <f t="shared" si="72"/>
        <v>0</v>
      </c>
      <c r="F379" s="112">
        <v>1</v>
      </c>
      <c r="G379" s="111">
        <f t="shared" si="73"/>
        <v>0</v>
      </c>
    </row>
    <row r="380" spans="1:7" ht="24" customHeight="1">
      <c r="A380" s="85" t="s">
        <v>380</v>
      </c>
      <c r="B380" s="108"/>
      <c r="C380" s="109">
        <v>1</v>
      </c>
      <c r="D380" s="110">
        <v>1</v>
      </c>
      <c r="E380" s="111">
        <f t="shared" si="72"/>
        <v>0</v>
      </c>
      <c r="F380" s="112">
        <v>1</v>
      </c>
      <c r="G380" s="111">
        <f t="shared" si="73"/>
        <v>0</v>
      </c>
    </row>
    <row r="381" spans="1:7" ht="24" customHeight="1">
      <c r="A381" s="85" t="s">
        <v>381</v>
      </c>
      <c r="B381" s="108"/>
      <c r="C381" s="109">
        <v>1</v>
      </c>
      <c r="D381" s="110">
        <v>1</v>
      </c>
      <c r="E381" s="111">
        <f t="shared" si="72"/>
        <v>0</v>
      </c>
      <c r="F381" s="112">
        <v>1</v>
      </c>
      <c r="G381" s="111">
        <f t="shared" si="73"/>
        <v>0</v>
      </c>
    </row>
    <row r="382" spans="1:7" ht="24" customHeight="1">
      <c r="A382" s="85" t="s">
        <v>382</v>
      </c>
      <c r="B382" s="108"/>
      <c r="C382" s="109">
        <v>5</v>
      </c>
      <c r="D382" s="110">
        <v>0.5</v>
      </c>
      <c r="E382" s="111">
        <f t="shared" si="72"/>
        <v>0</v>
      </c>
      <c r="F382" s="112">
        <f>(252/365)</f>
        <v>0.69041095890410964</v>
      </c>
      <c r="G382" s="111">
        <f t="shared" si="73"/>
        <v>0</v>
      </c>
    </row>
    <row r="383" spans="1:7" ht="24" customHeight="1">
      <c r="A383" s="85" t="s">
        <v>383</v>
      </c>
      <c r="B383" s="108"/>
      <c r="C383" s="109">
        <v>120</v>
      </c>
      <c r="D383" s="110">
        <v>0.5</v>
      </c>
      <c r="E383" s="111">
        <f t="shared" si="72"/>
        <v>0</v>
      </c>
      <c r="F383" s="112">
        <f>(252/365)</f>
        <v>0.69041095890410964</v>
      </c>
      <c r="G383" s="111">
        <f t="shared" si="73"/>
        <v>0</v>
      </c>
    </row>
    <row r="384" spans="1:7" ht="24" customHeight="1">
      <c r="A384" s="113" t="s">
        <v>384</v>
      </c>
      <c r="B384" s="114"/>
      <c r="C384" s="115">
        <v>6</v>
      </c>
      <c r="D384" s="116">
        <v>1</v>
      </c>
      <c r="E384" s="117">
        <f t="shared" si="72"/>
        <v>0</v>
      </c>
      <c r="F384" s="118">
        <v>1</v>
      </c>
      <c r="G384" s="117">
        <f t="shared" si="73"/>
        <v>0</v>
      </c>
    </row>
    <row r="386" spans="1:4" ht="24" customHeight="1">
      <c r="A386" s="679" t="s">
        <v>385</v>
      </c>
      <c r="B386" s="680"/>
      <c r="C386" s="680"/>
      <c r="D386" s="681"/>
    </row>
    <row r="387" spans="1:4" ht="24" customHeight="1">
      <c r="A387" s="656" t="s">
        <v>386</v>
      </c>
      <c r="B387" s="679" t="s">
        <v>387</v>
      </c>
      <c r="C387" s="680"/>
      <c r="D387" s="681"/>
    </row>
    <row r="388" spans="1:4" ht="26.25" customHeight="1">
      <c r="A388" s="657"/>
      <c r="B388" s="48" t="s">
        <v>388</v>
      </c>
      <c r="C388" s="42" t="s">
        <v>389</v>
      </c>
      <c r="D388" s="119" t="s">
        <v>390</v>
      </c>
    </row>
    <row r="389" spans="1:4" ht="24" customHeight="1">
      <c r="A389" s="102" t="s">
        <v>373</v>
      </c>
      <c r="B389" s="103">
        <f>E373</f>
        <v>0</v>
      </c>
      <c r="C389" s="103">
        <f t="shared" ref="C389:C400" si="74">E373</f>
        <v>0</v>
      </c>
      <c r="D389" s="120">
        <f t="shared" ref="D389:D400" si="75">G373</f>
        <v>0</v>
      </c>
    </row>
    <row r="390" spans="1:4" ht="24" customHeight="1">
      <c r="A390" s="85" t="s">
        <v>374</v>
      </c>
      <c r="B390" s="108">
        <f t="shared" ref="B390:B400" si="76">E374</f>
        <v>0</v>
      </c>
      <c r="C390" s="108">
        <f t="shared" si="74"/>
        <v>0</v>
      </c>
      <c r="D390" s="121">
        <f t="shared" si="75"/>
        <v>0</v>
      </c>
    </row>
    <row r="391" spans="1:4" ht="24" customHeight="1">
      <c r="A391" s="85" t="s">
        <v>375</v>
      </c>
      <c r="B391" s="108">
        <f t="shared" si="76"/>
        <v>0</v>
      </c>
      <c r="C391" s="108">
        <f t="shared" si="74"/>
        <v>0</v>
      </c>
      <c r="D391" s="121">
        <f t="shared" si="75"/>
        <v>0</v>
      </c>
    </row>
    <row r="392" spans="1:4" ht="24" customHeight="1">
      <c r="A392" s="85" t="s">
        <v>376</v>
      </c>
      <c r="B392" s="108">
        <f t="shared" si="76"/>
        <v>0</v>
      </c>
      <c r="C392" s="108">
        <f t="shared" si="74"/>
        <v>0</v>
      </c>
      <c r="D392" s="121">
        <f t="shared" si="75"/>
        <v>0</v>
      </c>
    </row>
    <row r="393" spans="1:4" ht="24" customHeight="1">
      <c r="A393" s="85" t="s">
        <v>377</v>
      </c>
      <c r="B393" s="108">
        <f t="shared" si="76"/>
        <v>0</v>
      </c>
      <c r="C393" s="108">
        <f t="shared" si="74"/>
        <v>0</v>
      </c>
      <c r="D393" s="121">
        <f t="shared" si="75"/>
        <v>0</v>
      </c>
    </row>
    <row r="394" spans="1:4" ht="24" customHeight="1">
      <c r="A394" s="85" t="s">
        <v>378</v>
      </c>
      <c r="B394" s="108">
        <f t="shared" si="76"/>
        <v>0</v>
      </c>
      <c r="C394" s="108">
        <f t="shared" si="74"/>
        <v>0</v>
      </c>
      <c r="D394" s="121">
        <f t="shared" si="75"/>
        <v>0</v>
      </c>
    </row>
    <row r="395" spans="1:4" ht="24" customHeight="1">
      <c r="A395" s="85" t="s">
        <v>379</v>
      </c>
      <c r="B395" s="108">
        <f t="shared" si="76"/>
        <v>0</v>
      </c>
      <c r="C395" s="108">
        <f t="shared" si="74"/>
        <v>0</v>
      </c>
      <c r="D395" s="121">
        <f t="shared" si="75"/>
        <v>0</v>
      </c>
    </row>
    <row r="396" spans="1:4" ht="24" customHeight="1">
      <c r="A396" s="85" t="s">
        <v>380</v>
      </c>
      <c r="B396" s="108">
        <f t="shared" si="76"/>
        <v>0</v>
      </c>
      <c r="C396" s="108">
        <f t="shared" si="74"/>
        <v>0</v>
      </c>
      <c r="D396" s="121">
        <f t="shared" si="75"/>
        <v>0</v>
      </c>
    </row>
    <row r="397" spans="1:4" ht="24" customHeight="1">
      <c r="A397" s="85" t="s">
        <v>381</v>
      </c>
      <c r="B397" s="108">
        <f t="shared" si="76"/>
        <v>0</v>
      </c>
      <c r="C397" s="108">
        <f t="shared" si="74"/>
        <v>0</v>
      </c>
      <c r="D397" s="121">
        <f t="shared" si="75"/>
        <v>0</v>
      </c>
    </row>
    <row r="398" spans="1:4" ht="24" customHeight="1">
      <c r="A398" s="85" t="s">
        <v>382</v>
      </c>
      <c r="B398" s="108">
        <f t="shared" si="76"/>
        <v>0</v>
      </c>
      <c r="C398" s="108">
        <f t="shared" si="74"/>
        <v>0</v>
      </c>
      <c r="D398" s="121">
        <f t="shared" si="75"/>
        <v>0</v>
      </c>
    </row>
    <row r="399" spans="1:4" ht="24" customHeight="1">
      <c r="A399" s="85" t="s">
        <v>383</v>
      </c>
      <c r="B399" s="108">
        <f t="shared" si="76"/>
        <v>0</v>
      </c>
      <c r="C399" s="108">
        <f t="shared" si="74"/>
        <v>0</v>
      </c>
      <c r="D399" s="121">
        <f t="shared" si="75"/>
        <v>0</v>
      </c>
    </row>
    <row r="400" spans="1:4" ht="24" customHeight="1">
      <c r="A400" s="87" t="s">
        <v>384</v>
      </c>
      <c r="B400" s="122">
        <f t="shared" si="76"/>
        <v>0</v>
      </c>
      <c r="C400" s="122">
        <f t="shared" si="74"/>
        <v>0</v>
      </c>
      <c r="D400" s="123">
        <f t="shared" si="75"/>
        <v>0</v>
      </c>
    </row>
    <row r="401" spans="1:8" ht="24" customHeight="1">
      <c r="A401" s="48" t="s">
        <v>391</v>
      </c>
      <c r="B401" s="124">
        <f>SUM(B389:B400)</f>
        <v>0</v>
      </c>
      <c r="C401" s="124">
        <f>SUM(C389:C400)</f>
        <v>0</v>
      </c>
      <c r="D401" s="125">
        <f>SUM(D389:D400)</f>
        <v>0</v>
      </c>
      <c r="H401" s="3"/>
    </row>
    <row r="403" spans="1:8" ht="24" customHeight="1">
      <c r="A403" s="677" t="s">
        <v>392</v>
      </c>
      <c r="B403" s="678"/>
      <c r="C403" s="678"/>
      <c r="D403" s="678"/>
      <c r="E403" s="678"/>
      <c r="F403" s="678"/>
      <c r="G403" s="678"/>
      <c r="H403" s="678"/>
    </row>
    <row r="404" spans="1:8" ht="78" customHeight="1">
      <c r="A404" s="647" t="s">
        <v>393</v>
      </c>
      <c r="B404" s="647"/>
      <c r="C404" s="647"/>
      <c r="D404" s="647"/>
      <c r="E404" s="647"/>
      <c r="F404" s="647"/>
      <c r="G404" s="647"/>
      <c r="H404" s="647"/>
    </row>
    <row r="406" spans="1:8" ht="24" customHeight="1">
      <c r="A406" s="643" t="s">
        <v>394</v>
      </c>
      <c r="B406" s="644"/>
      <c r="C406" s="644"/>
      <c r="D406" s="645"/>
    </row>
    <row r="407" spans="1:8" ht="24" customHeight="1">
      <c r="A407" s="50" t="s">
        <v>251</v>
      </c>
      <c r="B407" s="51" t="s">
        <v>252</v>
      </c>
      <c r="C407" s="51" t="s">
        <v>395</v>
      </c>
      <c r="D407" s="53" t="s">
        <v>396</v>
      </c>
    </row>
    <row r="408" spans="1:8" ht="24" customHeight="1">
      <c r="A408" s="13" t="s">
        <v>259</v>
      </c>
      <c r="B408" s="14" t="e">
        <f>G70+E255+E359</f>
        <v>#REF!</v>
      </c>
      <c r="C408" s="72">
        <v>30</v>
      </c>
      <c r="D408" s="22" t="e">
        <f>B408/C408</f>
        <v>#REF!</v>
      </c>
      <c r="E408" s="90" t="e">
        <f>G70</f>
        <v>#REF!</v>
      </c>
    </row>
    <row r="409" spans="1:8" ht="24" customHeight="1">
      <c r="A409" s="23" t="s">
        <v>260</v>
      </c>
      <c r="B409" s="24" t="e">
        <f t="shared" ref="B409:B413" si="77">G71+E256+E360</f>
        <v>#REF!</v>
      </c>
      <c r="C409" s="73">
        <f>C408</f>
        <v>30</v>
      </c>
      <c r="D409" s="26" t="e">
        <f t="shared" ref="D409:D413" si="78">B409/C409</f>
        <v>#REF!</v>
      </c>
      <c r="E409" s="90" t="e">
        <f>E255</f>
        <v>#REF!</v>
      </c>
    </row>
    <row r="410" spans="1:8" ht="24" customHeight="1">
      <c r="A410" s="27" t="s">
        <v>275</v>
      </c>
      <c r="B410" s="28" t="e">
        <f t="shared" si="77"/>
        <v>#REF!</v>
      </c>
      <c r="C410" s="74">
        <f>C409</f>
        <v>30</v>
      </c>
      <c r="D410" s="30" t="e">
        <f t="shared" si="78"/>
        <v>#REF!</v>
      </c>
      <c r="E410" s="90" t="e">
        <f>E359</f>
        <v>#REF!</v>
      </c>
    </row>
    <row r="411" spans="1:8" ht="24" customHeight="1">
      <c r="A411" s="13" t="s">
        <v>262</v>
      </c>
      <c r="B411" s="14">
        <f t="shared" si="77"/>
        <v>428.52812499999999</v>
      </c>
      <c r="C411" s="72">
        <f>C410</f>
        <v>30</v>
      </c>
      <c r="D411" s="22">
        <f t="shared" si="78"/>
        <v>14.284270833333332</v>
      </c>
    </row>
    <row r="412" spans="1:8" ht="24" customHeight="1">
      <c r="A412" s="23" t="s">
        <v>263</v>
      </c>
      <c r="B412" s="24">
        <f t="shared" si="77"/>
        <v>428.52812499999999</v>
      </c>
      <c r="C412" s="73">
        <f>C411</f>
        <v>30</v>
      </c>
      <c r="D412" s="26">
        <f t="shared" si="78"/>
        <v>14.284270833333332</v>
      </c>
    </row>
    <row r="413" spans="1:8" ht="24" customHeight="1">
      <c r="A413" s="8" t="s">
        <v>264</v>
      </c>
      <c r="B413" s="17">
        <f t="shared" si="77"/>
        <v>628.50791666666669</v>
      </c>
      <c r="C413" s="75">
        <f>C412</f>
        <v>30</v>
      </c>
      <c r="D413" s="9">
        <f t="shared" si="78"/>
        <v>20.950263888888891</v>
      </c>
    </row>
    <row r="414" spans="1:8" ht="15.75"/>
    <row r="415" spans="1:8" ht="24" customHeight="1">
      <c r="A415" s="674" t="s">
        <v>392</v>
      </c>
      <c r="B415" s="675"/>
      <c r="C415" s="675"/>
      <c r="D415" s="675"/>
      <c r="E415" s="676"/>
    </row>
    <row r="416" spans="1:8" ht="33.75" customHeight="1">
      <c r="A416" s="50" t="s">
        <v>251</v>
      </c>
      <c r="B416" s="51" t="s">
        <v>396</v>
      </c>
      <c r="C416" s="52" t="s">
        <v>397</v>
      </c>
      <c r="D416" s="51" t="s">
        <v>398</v>
      </c>
      <c r="E416" s="53" t="s">
        <v>399</v>
      </c>
    </row>
    <row r="417" spans="1:8" ht="24" customHeight="1">
      <c r="A417" s="13" t="s">
        <v>259</v>
      </c>
      <c r="B417" s="14" t="e">
        <f>D408</f>
        <v>#REF!</v>
      </c>
      <c r="C417" s="126">
        <f>B401</f>
        <v>0</v>
      </c>
      <c r="D417" s="14" t="e">
        <f>B417*C417</f>
        <v>#REF!</v>
      </c>
      <c r="E417" s="22" t="e">
        <f t="shared" ref="E417:E422" si="79">D417/12</f>
        <v>#REF!</v>
      </c>
    </row>
    <row r="418" spans="1:8" ht="24" customHeight="1">
      <c r="A418" s="23" t="s">
        <v>260</v>
      </c>
      <c r="B418" s="24" t="e">
        <f t="shared" ref="B418:B422" si="80">D409</f>
        <v>#REF!</v>
      </c>
      <c r="C418" s="127">
        <f>C401</f>
        <v>0</v>
      </c>
      <c r="D418" s="24" t="e">
        <f t="shared" ref="D418:D422" si="81">B418*C418</f>
        <v>#REF!</v>
      </c>
      <c r="E418" s="26" t="e">
        <f t="shared" si="79"/>
        <v>#REF!</v>
      </c>
    </row>
    <row r="419" spans="1:8" ht="24" customHeight="1">
      <c r="A419" s="27" t="s">
        <v>275</v>
      </c>
      <c r="B419" s="28" t="e">
        <f t="shared" si="80"/>
        <v>#REF!</v>
      </c>
      <c r="C419" s="128">
        <f>D401</f>
        <v>0</v>
      </c>
      <c r="D419" s="28" t="e">
        <f t="shared" si="81"/>
        <v>#REF!</v>
      </c>
      <c r="E419" s="30" t="e">
        <f t="shared" si="79"/>
        <v>#REF!</v>
      </c>
    </row>
    <row r="420" spans="1:8" ht="24" customHeight="1">
      <c r="A420" s="13" t="s">
        <v>262</v>
      </c>
      <c r="B420" s="14">
        <f t="shared" si="80"/>
        <v>14.284270833333332</v>
      </c>
      <c r="C420" s="126">
        <f>B401</f>
        <v>0</v>
      </c>
      <c r="D420" s="14">
        <f t="shared" si="81"/>
        <v>0</v>
      </c>
      <c r="E420" s="22">
        <f t="shared" si="79"/>
        <v>0</v>
      </c>
    </row>
    <row r="421" spans="1:8" ht="24" customHeight="1">
      <c r="A421" s="23" t="s">
        <v>263</v>
      </c>
      <c r="B421" s="24">
        <f t="shared" si="80"/>
        <v>14.284270833333332</v>
      </c>
      <c r="C421" s="127">
        <f>C401</f>
        <v>0</v>
      </c>
      <c r="D421" s="24">
        <f t="shared" si="81"/>
        <v>0</v>
      </c>
      <c r="E421" s="26">
        <f t="shared" si="79"/>
        <v>0</v>
      </c>
    </row>
    <row r="422" spans="1:8" ht="24" customHeight="1">
      <c r="A422" s="8" t="s">
        <v>264</v>
      </c>
      <c r="B422" s="17">
        <f t="shared" si="80"/>
        <v>20.950263888888891</v>
      </c>
      <c r="C422" s="129">
        <f>D401</f>
        <v>0</v>
      </c>
      <c r="D422" s="17">
        <f t="shared" si="81"/>
        <v>0</v>
      </c>
      <c r="E422" s="9">
        <f t="shared" si="79"/>
        <v>0</v>
      </c>
      <c r="H422" s="3"/>
    </row>
    <row r="424" spans="1:8" ht="24" customHeight="1">
      <c r="A424" s="677" t="s">
        <v>400</v>
      </c>
      <c r="B424" s="678"/>
      <c r="C424" s="678"/>
      <c r="D424" s="678"/>
      <c r="E424" s="678"/>
      <c r="F424" s="678"/>
      <c r="G424" s="678"/>
      <c r="H424" s="678"/>
    </row>
    <row r="425" spans="1:8" ht="119.25" customHeight="1">
      <c r="A425" s="647" t="s">
        <v>401</v>
      </c>
      <c r="B425" s="647"/>
      <c r="C425" s="647"/>
      <c r="D425" s="647"/>
      <c r="E425" s="647"/>
      <c r="F425" s="647"/>
      <c r="G425" s="647"/>
      <c r="H425" s="647"/>
    </row>
    <row r="426" spans="1:8" ht="22.5" customHeight="1"/>
    <row r="427" spans="1:8" ht="22.5" customHeight="1">
      <c r="A427" s="643" t="s">
        <v>402</v>
      </c>
      <c r="B427" s="644"/>
      <c r="C427" s="644"/>
      <c r="D427" s="645"/>
    </row>
    <row r="428" spans="1:8" ht="22.5" customHeight="1">
      <c r="A428" s="50" t="s">
        <v>251</v>
      </c>
      <c r="B428" s="51" t="s">
        <v>252</v>
      </c>
      <c r="C428" s="51" t="s">
        <v>403</v>
      </c>
      <c r="D428" s="53" t="s">
        <v>178</v>
      </c>
    </row>
    <row r="429" spans="1:8" ht="22.5" customHeight="1">
      <c r="A429" s="13" t="s">
        <v>259</v>
      </c>
      <c r="B429" s="14" t="e">
        <f>G70+E255+E359</f>
        <v>#REF!</v>
      </c>
      <c r="C429" s="36">
        <v>220</v>
      </c>
      <c r="D429" s="22" t="e">
        <f>B429/C429</f>
        <v>#REF!</v>
      </c>
      <c r="E429" s="90" t="e">
        <f>E359</f>
        <v>#REF!</v>
      </c>
    </row>
    <row r="430" spans="1:8" ht="24" customHeight="1">
      <c r="A430" s="23" t="s">
        <v>260</v>
      </c>
      <c r="B430" s="24" t="e">
        <f>G71+E256+E360</f>
        <v>#REF!</v>
      </c>
      <c r="C430" s="38">
        <f>C429</f>
        <v>220</v>
      </c>
      <c r="D430" s="26" t="e">
        <f t="shared" ref="D430:D431" si="82">B430/C430</f>
        <v>#REF!</v>
      </c>
    </row>
    <row r="431" spans="1:8" ht="24" customHeight="1">
      <c r="A431" s="8" t="s">
        <v>275</v>
      </c>
      <c r="B431" s="17" t="e">
        <f>G72+E257+E361</f>
        <v>#REF!</v>
      </c>
      <c r="C431" s="40">
        <f>C430</f>
        <v>220</v>
      </c>
      <c r="D431" s="9" t="e">
        <f t="shared" si="82"/>
        <v>#REF!</v>
      </c>
    </row>
    <row r="432" spans="1:8" ht="15.75"/>
    <row r="433" spans="1:8" ht="24" customHeight="1">
      <c r="A433" s="651" t="s">
        <v>400</v>
      </c>
      <c r="B433" s="652"/>
      <c r="C433" s="652"/>
      <c r="D433" s="653"/>
    </row>
    <row r="434" spans="1:8" ht="30" customHeight="1">
      <c r="A434" s="4" t="s">
        <v>251</v>
      </c>
      <c r="B434" s="20" t="s">
        <v>404</v>
      </c>
      <c r="C434" s="42" t="s">
        <v>405</v>
      </c>
      <c r="D434" s="5" t="s">
        <v>178</v>
      </c>
    </row>
    <row r="435" spans="1:8" ht="24" customHeight="1">
      <c r="A435" s="13" t="s">
        <v>259</v>
      </c>
      <c r="B435" s="14" t="e">
        <f>D429</f>
        <v>#REF!</v>
      </c>
      <c r="C435" s="36">
        <v>15</v>
      </c>
      <c r="D435" s="22" t="e">
        <f>B435*C435</f>
        <v>#REF!</v>
      </c>
    </row>
    <row r="436" spans="1:8" ht="24" customHeight="1">
      <c r="A436" s="23" t="s">
        <v>260</v>
      </c>
      <c r="B436" s="24" t="e">
        <f t="shared" ref="B436:B437" si="83">D430</f>
        <v>#REF!</v>
      </c>
      <c r="C436" s="38">
        <v>15</v>
      </c>
      <c r="D436" s="26" t="e">
        <f t="shared" ref="D436:D437" si="84">B436*C436</f>
        <v>#REF!</v>
      </c>
    </row>
    <row r="437" spans="1:8" ht="24" customHeight="1">
      <c r="A437" s="8" t="s">
        <v>275</v>
      </c>
      <c r="B437" s="17" t="e">
        <f t="shared" si="83"/>
        <v>#REF!</v>
      </c>
      <c r="C437" s="40">
        <v>22</v>
      </c>
      <c r="D437" s="9" t="e">
        <f t="shared" si="84"/>
        <v>#REF!</v>
      </c>
      <c r="H437" s="3"/>
    </row>
    <row r="439" spans="1:8" ht="24" customHeight="1">
      <c r="A439" s="646" t="s">
        <v>363</v>
      </c>
      <c r="B439" s="646"/>
      <c r="C439" s="646"/>
      <c r="D439" s="646"/>
      <c r="E439" s="646"/>
      <c r="F439" s="646"/>
      <c r="G439" s="646"/>
      <c r="H439" s="646"/>
    </row>
    <row r="441" spans="1:8" ht="24" customHeight="1">
      <c r="A441" s="643" t="s">
        <v>363</v>
      </c>
      <c r="B441" s="644"/>
      <c r="C441" s="644"/>
      <c r="D441" s="645"/>
    </row>
    <row r="442" spans="1:8" ht="24" customHeight="1">
      <c r="A442" s="50" t="s">
        <v>251</v>
      </c>
      <c r="B442" s="51" t="s">
        <v>406</v>
      </c>
      <c r="C442" s="51" t="s">
        <v>407</v>
      </c>
      <c r="D442" s="53" t="s">
        <v>281</v>
      </c>
    </row>
    <row r="443" spans="1:8" ht="24" customHeight="1">
      <c r="A443" s="13" t="s">
        <v>259</v>
      </c>
      <c r="B443" s="14" t="e">
        <f t="shared" ref="B443:B448" si="85">E417</f>
        <v>#REF!</v>
      </c>
      <c r="C443" s="14" t="e">
        <f>D435</f>
        <v>#REF!</v>
      </c>
      <c r="D443" s="22" t="e">
        <f>B443+C443</f>
        <v>#REF!</v>
      </c>
    </row>
    <row r="444" spans="1:8" ht="24" customHeight="1">
      <c r="A444" s="23" t="s">
        <v>260</v>
      </c>
      <c r="B444" s="24" t="e">
        <f t="shared" si="85"/>
        <v>#REF!</v>
      </c>
      <c r="C444" s="24" t="e">
        <f t="shared" ref="C444:C445" si="86">D436</f>
        <v>#REF!</v>
      </c>
      <c r="D444" s="26" t="e">
        <f t="shared" ref="D444:D448" si="87">B444+C444</f>
        <v>#REF!</v>
      </c>
    </row>
    <row r="445" spans="1:8" ht="24" customHeight="1">
      <c r="A445" s="27" t="s">
        <v>275</v>
      </c>
      <c r="B445" s="28" t="e">
        <f t="shared" si="85"/>
        <v>#REF!</v>
      </c>
      <c r="C445" s="28" t="e">
        <f t="shared" si="86"/>
        <v>#REF!</v>
      </c>
      <c r="D445" s="30" t="e">
        <f t="shared" si="87"/>
        <v>#REF!</v>
      </c>
    </row>
    <row r="446" spans="1:8" ht="24" customHeight="1">
      <c r="A446" s="13" t="s">
        <v>262</v>
      </c>
      <c r="B446" s="14">
        <f t="shared" si="85"/>
        <v>0</v>
      </c>
      <c r="C446" s="36"/>
      <c r="D446" s="22">
        <f t="shared" si="87"/>
        <v>0</v>
      </c>
    </row>
    <row r="447" spans="1:8" ht="24" customHeight="1">
      <c r="A447" s="23" t="s">
        <v>263</v>
      </c>
      <c r="B447" s="24">
        <f t="shared" si="85"/>
        <v>0</v>
      </c>
      <c r="C447" s="38"/>
      <c r="D447" s="26">
        <f t="shared" si="87"/>
        <v>0</v>
      </c>
    </row>
    <row r="448" spans="1:8" ht="24" customHeight="1">
      <c r="A448" s="8" t="s">
        <v>264</v>
      </c>
      <c r="B448" s="17">
        <f t="shared" si="85"/>
        <v>0</v>
      </c>
      <c r="C448" s="40"/>
      <c r="D448" s="9">
        <f t="shared" si="87"/>
        <v>0</v>
      </c>
    </row>
    <row r="450" spans="1:8" ht="24" customHeight="1">
      <c r="A450" s="646" t="s">
        <v>408</v>
      </c>
      <c r="B450" s="646"/>
      <c r="C450" s="646"/>
      <c r="D450" s="646"/>
      <c r="E450" s="646"/>
      <c r="F450" s="646"/>
      <c r="G450" s="646"/>
      <c r="H450" s="646"/>
    </row>
    <row r="451" spans="1:8" ht="24" customHeight="1">
      <c r="A451" s="3"/>
      <c r="B451" s="3"/>
      <c r="C451" s="3"/>
      <c r="E451" s="3"/>
    </row>
    <row r="452" spans="1:8" ht="24" customHeight="1">
      <c r="A452" s="658" t="s">
        <v>409</v>
      </c>
      <c r="B452" s="659"/>
      <c r="C452" s="659"/>
      <c r="D452" s="660"/>
      <c r="E452" s="130"/>
    </row>
    <row r="453" spans="1:8" ht="24" customHeight="1">
      <c r="A453" s="131" t="s">
        <v>410</v>
      </c>
      <c r="B453" s="132" t="s">
        <v>411</v>
      </c>
      <c r="C453" s="132" t="s">
        <v>412</v>
      </c>
      <c r="D453" s="133" t="s">
        <v>178</v>
      </c>
    </row>
    <row r="454" spans="1:8" ht="24" customHeight="1">
      <c r="A454" s="6" t="s">
        <v>413</v>
      </c>
      <c r="B454" s="134"/>
      <c r="C454" s="135"/>
      <c r="D454" s="136"/>
    </row>
    <row r="455" spans="1:8" ht="24" customHeight="1">
      <c r="A455" s="23" t="s">
        <v>414</v>
      </c>
      <c r="B455" s="137"/>
      <c r="C455" s="138"/>
      <c r="D455" s="139"/>
    </row>
    <row r="456" spans="1:8" ht="24" customHeight="1">
      <c r="A456" s="23" t="s">
        <v>415</v>
      </c>
      <c r="B456" s="137"/>
      <c r="C456" s="138"/>
      <c r="D456" s="139"/>
    </row>
    <row r="457" spans="1:8" ht="24" customHeight="1">
      <c r="A457" s="23" t="s">
        <v>416</v>
      </c>
      <c r="B457" s="137"/>
      <c r="C457" s="138"/>
      <c r="D457" s="139"/>
    </row>
    <row r="458" spans="1:8" ht="24" customHeight="1">
      <c r="A458" s="23"/>
      <c r="B458" s="137"/>
      <c r="C458" s="138"/>
      <c r="D458" s="139"/>
    </row>
    <row r="459" spans="1:8" ht="24" customHeight="1">
      <c r="A459" s="23"/>
      <c r="B459" s="137"/>
      <c r="C459" s="138"/>
      <c r="D459" s="139"/>
    </row>
    <row r="460" spans="1:8" ht="24" customHeight="1">
      <c r="A460" s="23"/>
      <c r="B460" s="137"/>
      <c r="C460" s="138"/>
      <c r="D460" s="139"/>
    </row>
    <row r="461" spans="1:8" ht="24" customHeight="1">
      <c r="A461" s="23"/>
      <c r="B461" s="137"/>
      <c r="C461" s="138"/>
      <c r="D461" s="139"/>
    </row>
    <row r="462" spans="1:8" ht="24" customHeight="1">
      <c r="A462" s="8"/>
      <c r="B462" s="140"/>
      <c r="C462" s="141"/>
      <c r="D462" s="142"/>
    </row>
    <row r="463" spans="1:8" ht="24" customHeight="1">
      <c r="A463" s="658" t="s">
        <v>417</v>
      </c>
      <c r="B463" s="659"/>
      <c r="C463" s="660"/>
      <c r="D463" s="143"/>
    </row>
    <row r="464" spans="1:8" ht="24" customHeight="1">
      <c r="B464" s="144"/>
      <c r="C464" s="144"/>
      <c r="D464" s="144"/>
      <c r="E464" s="145"/>
    </row>
    <row r="465" spans="1:11" ht="24" customHeight="1">
      <c r="A465" s="658" t="s">
        <v>418</v>
      </c>
      <c r="B465" s="659"/>
      <c r="C465" s="660"/>
      <c r="D465" s="146"/>
      <c r="E465" s="146"/>
    </row>
    <row r="466" spans="1:11" ht="24" customHeight="1">
      <c r="A466" s="147" t="s">
        <v>251</v>
      </c>
      <c r="B466" s="148" t="s">
        <v>398</v>
      </c>
      <c r="C466" s="149" t="s">
        <v>419</v>
      </c>
      <c r="D466" s="146"/>
      <c r="E466" s="146"/>
    </row>
    <row r="467" spans="1:11" ht="24" customHeight="1">
      <c r="A467" s="13" t="s">
        <v>259</v>
      </c>
      <c r="B467" s="150"/>
      <c r="C467" s="151"/>
      <c r="D467" s="144"/>
    </row>
    <row r="468" spans="1:11" ht="24" customHeight="1">
      <c r="A468" s="23" t="s">
        <v>260</v>
      </c>
      <c r="B468" s="152"/>
      <c r="C468" s="153"/>
      <c r="D468" s="144"/>
    </row>
    <row r="469" spans="1:11" ht="24" customHeight="1">
      <c r="A469" s="27" t="s">
        <v>275</v>
      </c>
      <c r="B469" s="154"/>
      <c r="C469" s="155"/>
      <c r="D469" s="144"/>
    </row>
    <row r="470" spans="1:11" ht="24" customHeight="1">
      <c r="A470" s="13" t="s">
        <v>262</v>
      </c>
      <c r="B470" s="156"/>
      <c r="C470" s="157"/>
      <c r="D470" s="144"/>
    </row>
    <row r="471" spans="1:11" ht="24" customHeight="1">
      <c r="A471" s="23" t="s">
        <v>263</v>
      </c>
      <c r="B471" s="152"/>
      <c r="C471" s="153"/>
      <c r="D471" s="144"/>
    </row>
    <row r="472" spans="1:11" ht="24" customHeight="1">
      <c r="A472" s="8" t="s">
        <v>264</v>
      </c>
      <c r="B472" s="154"/>
      <c r="C472" s="155"/>
      <c r="D472" s="144"/>
    </row>
    <row r="473" spans="1:11" ht="24" customHeight="1">
      <c r="B473" s="144"/>
      <c r="C473" s="144"/>
      <c r="D473" s="144"/>
    </row>
    <row r="474" spans="1:11" ht="24" customHeight="1">
      <c r="A474" s="661" t="s">
        <v>420</v>
      </c>
      <c r="B474" s="662"/>
      <c r="C474" s="662"/>
      <c r="D474" s="662"/>
      <c r="E474" s="662"/>
      <c r="F474" s="663"/>
    </row>
    <row r="475" spans="1:11" ht="41.25" customHeight="1">
      <c r="A475" s="158" t="s">
        <v>12</v>
      </c>
      <c r="B475" s="159" t="s">
        <v>421</v>
      </c>
      <c r="C475" s="160" t="s">
        <v>411</v>
      </c>
      <c r="D475" s="160" t="s">
        <v>422</v>
      </c>
      <c r="E475" s="160" t="s">
        <v>423</v>
      </c>
      <c r="F475" s="5" t="s">
        <v>424</v>
      </c>
    </row>
    <row r="476" spans="1:11" ht="24" customHeight="1">
      <c r="A476" s="161"/>
      <c r="B476" s="162"/>
      <c r="C476" s="163"/>
      <c r="D476" s="164"/>
      <c r="E476" s="165"/>
      <c r="F476" s="166"/>
    </row>
    <row r="477" spans="1:11" ht="24" customHeight="1">
      <c r="A477" s="167"/>
      <c r="B477" s="168"/>
      <c r="C477" s="169"/>
      <c r="D477" s="170"/>
      <c r="E477" s="171"/>
      <c r="F477" s="172"/>
    </row>
    <row r="478" spans="1:11" ht="24" customHeight="1">
      <c r="A478" s="167"/>
      <c r="B478" s="168"/>
      <c r="C478" s="169"/>
      <c r="D478" s="170"/>
      <c r="E478" s="171"/>
      <c r="F478" s="173"/>
      <c r="G478" s="3"/>
      <c r="H478" s="3"/>
      <c r="I478" s="3"/>
      <c r="J478" s="3"/>
      <c r="K478" s="3"/>
    </row>
    <row r="479" spans="1:11" ht="24" customHeight="1">
      <c r="A479" s="167"/>
      <c r="B479" s="168"/>
      <c r="C479" s="169"/>
      <c r="D479" s="170"/>
      <c r="E479" s="171"/>
      <c r="F479" s="172"/>
    </row>
    <row r="480" spans="1:11" ht="24" customHeight="1">
      <c r="A480" s="167"/>
      <c r="B480" s="168"/>
      <c r="C480" s="169"/>
      <c r="D480" s="170"/>
      <c r="E480" s="171"/>
      <c r="F480" s="172"/>
    </row>
    <row r="481" spans="1:6" ht="24" customHeight="1">
      <c r="A481" s="167"/>
      <c r="B481" s="168"/>
      <c r="C481" s="169"/>
      <c r="D481" s="170"/>
      <c r="E481" s="171"/>
      <c r="F481" s="172"/>
    </row>
    <row r="482" spans="1:6" ht="24" customHeight="1">
      <c r="A482" s="167"/>
      <c r="B482" s="168"/>
      <c r="C482" s="169"/>
      <c r="D482" s="170"/>
      <c r="E482" s="171"/>
      <c r="F482" s="172"/>
    </row>
    <row r="483" spans="1:6" ht="24" customHeight="1">
      <c r="A483" s="167"/>
      <c r="B483" s="168"/>
      <c r="C483" s="169"/>
      <c r="D483" s="170"/>
      <c r="E483" s="171"/>
      <c r="F483" s="172"/>
    </row>
    <row r="484" spans="1:6" ht="24" customHeight="1">
      <c r="A484" s="167"/>
      <c r="B484" s="168"/>
      <c r="C484" s="169"/>
      <c r="D484" s="170"/>
      <c r="E484" s="171"/>
      <c r="F484" s="172"/>
    </row>
    <row r="485" spans="1:6" ht="24" customHeight="1">
      <c r="A485" s="167"/>
      <c r="B485" s="168"/>
      <c r="C485" s="169"/>
      <c r="D485" s="170"/>
      <c r="E485" s="171"/>
      <c r="F485" s="172"/>
    </row>
    <row r="486" spans="1:6" ht="24" customHeight="1">
      <c r="A486" s="174"/>
      <c r="B486" s="168"/>
      <c r="C486" s="73"/>
      <c r="D486" s="175"/>
      <c r="E486" s="171"/>
      <c r="F486" s="172"/>
    </row>
    <row r="487" spans="1:6" ht="24" customHeight="1">
      <c r="A487" s="167"/>
      <c r="B487" s="168"/>
      <c r="C487" s="169"/>
      <c r="D487" s="170"/>
      <c r="E487" s="171"/>
      <c r="F487" s="172"/>
    </row>
    <row r="488" spans="1:6" ht="24" customHeight="1">
      <c r="A488" s="167"/>
      <c r="B488" s="168"/>
      <c r="C488" s="169"/>
      <c r="D488" s="170"/>
      <c r="E488" s="171"/>
      <c r="F488" s="172"/>
    </row>
    <row r="489" spans="1:6" ht="24" customHeight="1">
      <c r="A489" s="176"/>
      <c r="B489" s="177"/>
      <c r="C489" s="178"/>
      <c r="D489" s="179"/>
      <c r="E489" s="180"/>
      <c r="F489" s="181"/>
    </row>
    <row r="490" spans="1:6" ht="24" customHeight="1">
      <c r="A490" s="664" t="s">
        <v>425</v>
      </c>
      <c r="B490" s="665"/>
      <c r="C490" s="665"/>
      <c r="D490" s="666"/>
      <c r="E490" s="182"/>
      <c r="F490" s="183"/>
    </row>
    <row r="491" spans="1:6" ht="24" customHeight="1">
      <c r="B491" s="144"/>
      <c r="C491" s="144"/>
      <c r="D491" s="144"/>
    </row>
    <row r="492" spans="1:6" ht="24" customHeight="1">
      <c r="A492" s="667" t="s">
        <v>426</v>
      </c>
      <c r="B492" s="668"/>
      <c r="C492" s="668"/>
      <c r="D492" s="669"/>
    </row>
    <row r="493" spans="1:6" ht="27.75" customHeight="1">
      <c r="A493" s="184" t="s">
        <v>251</v>
      </c>
      <c r="B493" s="185" t="s">
        <v>398</v>
      </c>
      <c r="C493" s="185" t="s">
        <v>399</v>
      </c>
      <c r="D493" s="186" t="s">
        <v>427</v>
      </c>
    </row>
    <row r="494" spans="1:6" ht="24" customHeight="1">
      <c r="A494" s="13" t="s">
        <v>259</v>
      </c>
      <c r="B494" s="150"/>
      <c r="C494" s="150"/>
      <c r="D494" s="187"/>
    </row>
    <row r="495" spans="1:6" ht="24" customHeight="1">
      <c r="A495" s="23" t="s">
        <v>260</v>
      </c>
      <c r="B495" s="152"/>
      <c r="C495" s="152"/>
      <c r="D495" s="188"/>
    </row>
    <row r="496" spans="1:6" ht="24" customHeight="1">
      <c r="A496" s="27" t="s">
        <v>275</v>
      </c>
      <c r="B496" s="189"/>
      <c r="C496" s="189"/>
      <c r="D496" s="190"/>
    </row>
    <row r="497" spans="1:8" ht="24" customHeight="1">
      <c r="A497" s="13" t="s">
        <v>262</v>
      </c>
      <c r="B497" s="150"/>
      <c r="C497" s="150"/>
      <c r="D497" s="187"/>
    </row>
    <row r="498" spans="1:8" ht="24" customHeight="1">
      <c r="A498" s="23" t="s">
        <v>263</v>
      </c>
      <c r="B498" s="152"/>
      <c r="C498" s="152"/>
      <c r="D498" s="188"/>
    </row>
    <row r="499" spans="1:8" ht="24" customHeight="1">
      <c r="A499" s="8" t="s">
        <v>264</v>
      </c>
      <c r="B499" s="154"/>
      <c r="C499" s="154"/>
      <c r="D499" s="191"/>
    </row>
    <row r="501" spans="1:8" ht="24" customHeight="1">
      <c r="A501" s="670" t="s">
        <v>408</v>
      </c>
      <c r="B501" s="671"/>
      <c r="C501" s="671"/>
      <c r="D501" s="672"/>
    </row>
    <row r="502" spans="1:8" ht="39.75" customHeight="1">
      <c r="A502" s="192" t="s">
        <v>251</v>
      </c>
      <c r="B502" s="193" t="s">
        <v>428</v>
      </c>
      <c r="C502" s="193" t="s">
        <v>429</v>
      </c>
      <c r="D502" s="194" t="s">
        <v>178</v>
      </c>
    </row>
    <row r="503" spans="1:8" ht="24" customHeight="1">
      <c r="A503" s="13" t="s">
        <v>259</v>
      </c>
      <c r="B503" s="195">
        <f t="shared" ref="B503:B508" si="88">C467</f>
        <v>0</v>
      </c>
      <c r="C503" s="195">
        <f t="shared" ref="C503:C508" si="89">D494</f>
        <v>0</v>
      </c>
      <c r="D503" s="187">
        <f>SUM(B503:C503)</f>
        <v>0</v>
      </c>
    </row>
    <row r="504" spans="1:8" ht="24" customHeight="1">
      <c r="A504" s="23" t="s">
        <v>260</v>
      </c>
      <c r="B504" s="196">
        <f t="shared" si="88"/>
        <v>0</v>
      </c>
      <c r="C504" s="196">
        <f t="shared" si="89"/>
        <v>0</v>
      </c>
      <c r="D504" s="188">
        <f t="shared" ref="D504:D508" si="90">SUM(B504:C504)</f>
        <v>0</v>
      </c>
    </row>
    <row r="505" spans="1:8" ht="24" customHeight="1">
      <c r="A505" s="27" t="s">
        <v>275</v>
      </c>
      <c r="B505" s="197">
        <f t="shared" si="88"/>
        <v>0</v>
      </c>
      <c r="C505" s="197">
        <f t="shared" si="89"/>
        <v>0</v>
      </c>
      <c r="D505" s="190">
        <f t="shared" si="90"/>
        <v>0</v>
      </c>
    </row>
    <row r="506" spans="1:8" ht="24" customHeight="1">
      <c r="A506" s="13" t="s">
        <v>262</v>
      </c>
      <c r="B506" s="195">
        <f t="shared" si="88"/>
        <v>0</v>
      </c>
      <c r="C506" s="195">
        <f t="shared" si="89"/>
        <v>0</v>
      </c>
      <c r="D506" s="187">
        <f t="shared" si="90"/>
        <v>0</v>
      </c>
    </row>
    <row r="507" spans="1:8" ht="24" customHeight="1">
      <c r="A507" s="23" t="s">
        <v>263</v>
      </c>
      <c r="B507" s="196">
        <f t="shared" si="88"/>
        <v>0</v>
      </c>
      <c r="C507" s="196">
        <f t="shared" si="89"/>
        <v>0</v>
      </c>
      <c r="D507" s="188">
        <f t="shared" si="90"/>
        <v>0</v>
      </c>
    </row>
    <row r="508" spans="1:8" ht="24" customHeight="1">
      <c r="A508" s="8" t="s">
        <v>264</v>
      </c>
      <c r="B508" s="198">
        <f t="shared" si="88"/>
        <v>0</v>
      </c>
      <c r="C508" s="198">
        <f t="shared" si="89"/>
        <v>0</v>
      </c>
      <c r="D508" s="191">
        <f t="shared" si="90"/>
        <v>0</v>
      </c>
      <c r="H508" s="3"/>
    </row>
    <row r="510" spans="1:8" ht="24" customHeight="1">
      <c r="A510" s="646" t="s">
        <v>430</v>
      </c>
      <c r="B510" s="646"/>
      <c r="C510" s="646"/>
      <c r="D510" s="646"/>
      <c r="E510" s="646"/>
      <c r="F510" s="646"/>
      <c r="G510" s="646"/>
      <c r="H510" s="646"/>
    </row>
    <row r="511" spans="1:8" ht="24" customHeight="1">
      <c r="A511" s="673"/>
      <c r="B511" s="673"/>
      <c r="C511" s="673"/>
      <c r="D511" s="673"/>
      <c r="E511" s="673"/>
      <c r="F511" s="673"/>
    </row>
    <row r="512" spans="1:8" ht="49.5" customHeight="1">
      <c r="A512" s="641" t="s">
        <v>431</v>
      </c>
      <c r="B512" s="642"/>
      <c r="C512" s="49"/>
      <c r="D512" s="49"/>
      <c r="E512" s="49"/>
      <c r="F512" s="49"/>
    </row>
    <row r="513" spans="1:8" ht="24" customHeight="1">
      <c r="A513" s="174" t="s">
        <v>179</v>
      </c>
      <c r="B513" s="199"/>
      <c r="C513" s="49"/>
      <c r="D513" s="49"/>
      <c r="E513" s="49"/>
      <c r="F513" s="49"/>
    </row>
    <row r="514" spans="1:8" ht="24" customHeight="1">
      <c r="A514" s="174" t="s">
        <v>181</v>
      </c>
      <c r="B514" s="199"/>
      <c r="C514" s="49"/>
      <c r="D514" s="49"/>
      <c r="E514" s="49"/>
      <c r="F514" s="49"/>
    </row>
    <row r="515" spans="1:8" ht="24" customHeight="1">
      <c r="A515" s="78" t="s">
        <v>432</v>
      </c>
      <c r="B515" s="200"/>
      <c r="C515" s="49"/>
      <c r="D515" s="49"/>
      <c r="E515" s="49"/>
      <c r="F515" s="49"/>
    </row>
    <row r="517" spans="1:8" ht="24" customHeight="1">
      <c r="A517" s="643" t="s">
        <v>430</v>
      </c>
      <c r="B517" s="644"/>
      <c r="C517" s="644"/>
      <c r="D517" s="645"/>
    </row>
    <row r="518" spans="1:8" ht="24" customHeight="1">
      <c r="A518" s="50" t="s">
        <v>251</v>
      </c>
      <c r="B518" s="51" t="s">
        <v>252</v>
      </c>
      <c r="C518" s="51" t="s">
        <v>253</v>
      </c>
      <c r="D518" s="53" t="s">
        <v>178</v>
      </c>
    </row>
    <row r="519" spans="1:8" ht="24" customHeight="1">
      <c r="A519" s="13" t="s">
        <v>259</v>
      </c>
      <c r="B519" s="201" t="e">
        <f t="shared" ref="B519:B524" si="91">G70+E255+E359+D443+D503</f>
        <v>#REF!</v>
      </c>
      <c r="C519" s="202">
        <f>((1+$B$513)/(1-$B$514-$B$515))-1</f>
        <v>0</v>
      </c>
      <c r="D519" s="22" t="e">
        <f>B519*C519</f>
        <v>#REF!</v>
      </c>
    </row>
    <row r="520" spans="1:8" ht="24" customHeight="1">
      <c r="A520" s="23" t="s">
        <v>260</v>
      </c>
      <c r="B520" s="203" t="e">
        <f t="shared" si="91"/>
        <v>#REF!</v>
      </c>
      <c r="C520" s="204">
        <f t="shared" ref="C520:C524" si="92">((1+$B$513)/(1-$B$514-$B$515))-1</f>
        <v>0</v>
      </c>
      <c r="D520" s="26" t="e">
        <f t="shared" ref="D520:D524" si="93">B520*C520</f>
        <v>#REF!</v>
      </c>
    </row>
    <row r="521" spans="1:8" ht="24" customHeight="1">
      <c r="A521" s="27" t="s">
        <v>275</v>
      </c>
      <c r="B521" s="205" t="e">
        <f t="shared" si="91"/>
        <v>#REF!</v>
      </c>
      <c r="C521" s="206">
        <f t="shared" si="92"/>
        <v>0</v>
      </c>
      <c r="D521" s="30" t="e">
        <f t="shared" si="93"/>
        <v>#REF!</v>
      </c>
    </row>
    <row r="522" spans="1:8" ht="24" customHeight="1">
      <c r="A522" s="13" t="s">
        <v>262</v>
      </c>
      <c r="B522" s="201">
        <f t="shared" si="91"/>
        <v>428.52812499999999</v>
      </c>
      <c r="C522" s="202">
        <f t="shared" si="92"/>
        <v>0</v>
      </c>
      <c r="D522" s="22">
        <f t="shared" si="93"/>
        <v>0</v>
      </c>
    </row>
    <row r="523" spans="1:8" ht="24" customHeight="1">
      <c r="A523" s="23" t="s">
        <v>263</v>
      </c>
      <c r="B523" s="203">
        <f t="shared" si="91"/>
        <v>428.52812499999999</v>
      </c>
      <c r="C523" s="204">
        <f t="shared" si="92"/>
        <v>0</v>
      </c>
      <c r="D523" s="26">
        <f t="shared" si="93"/>
        <v>0</v>
      </c>
    </row>
    <row r="524" spans="1:8" ht="24" customHeight="1">
      <c r="A524" s="8" t="s">
        <v>264</v>
      </c>
      <c r="B524" s="207">
        <f t="shared" si="91"/>
        <v>628.50791666666669</v>
      </c>
      <c r="C524" s="208">
        <f t="shared" si="92"/>
        <v>0</v>
      </c>
      <c r="D524" s="9">
        <f t="shared" si="93"/>
        <v>0</v>
      </c>
      <c r="H524" s="3"/>
    </row>
    <row r="526" spans="1:8" ht="24" customHeight="1">
      <c r="A526" s="646" t="s">
        <v>433</v>
      </c>
      <c r="B526" s="646"/>
      <c r="C526" s="646"/>
      <c r="D526" s="646"/>
      <c r="E526" s="646"/>
      <c r="F526" s="646"/>
      <c r="G526" s="646"/>
      <c r="H526" s="646"/>
    </row>
    <row r="527" spans="1:8" ht="51" customHeight="1">
      <c r="A527" s="647" t="s">
        <v>434</v>
      </c>
      <c r="B527" s="647"/>
      <c r="C527" s="647"/>
      <c r="D527" s="647"/>
      <c r="E527" s="647"/>
      <c r="F527" s="647"/>
    </row>
    <row r="529" spans="1:8" ht="24" customHeight="1">
      <c r="A529" s="648" t="s">
        <v>435</v>
      </c>
      <c r="B529" s="649"/>
      <c r="C529" s="649"/>
      <c r="D529" s="650"/>
    </row>
    <row r="530" spans="1:8" ht="24" customHeight="1">
      <c r="A530" s="10" t="s">
        <v>251</v>
      </c>
      <c r="B530" s="11" t="s">
        <v>252</v>
      </c>
      <c r="C530" s="11" t="s">
        <v>436</v>
      </c>
      <c r="D530" s="12" t="s">
        <v>178</v>
      </c>
    </row>
    <row r="531" spans="1:8" ht="24" customHeight="1">
      <c r="A531" s="13" t="s">
        <v>262</v>
      </c>
      <c r="B531" s="14">
        <f>G73+E258+E362+D446+D506+D522</f>
        <v>428.52812499999999</v>
      </c>
      <c r="C531" s="36">
        <v>40</v>
      </c>
      <c r="D531" s="22">
        <f>B531/C531</f>
        <v>10.713203125</v>
      </c>
    </row>
    <row r="532" spans="1:8" ht="24" customHeight="1">
      <c r="A532" s="23" t="s">
        <v>263</v>
      </c>
      <c r="B532" s="24">
        <f>G74+E259+E363+D447+D507+D523</f>
        <v>428.52812499999999</v>
      </c>
      <c r="C532" s="38">
        <f>C531</f>
        <v>40</v>
      </c>
      <c r="D532" s="26">
        <f t="shared" ref="D532:D533" si="94">B532/C532</f>
        <v>10.713203125</v>
      </c>
    </row>
    <row r="533" spans="1:8" ht="24" customHeight="1">
      <c r="A533" s="8" t="s">
        <v>264</v>
      </c>
      <c r="B533" s="17">
        <f>G75+E260+E364+D448+D508+D524</f>
        <v>628.50791666666669</v>
      </c>
      <c r="C533" s="40">
        <f>C532</f>
        <v>40</v>
      </c>
      <c r="D533" s="9">
        <f t="shared" si="94"/>
        <v>15.712697916666666</v>
      </c>
      <c r="H533" s="3"/>
    </row>
    <row r="535" spans="1:8" ht="24" customHeight="1">
      <c r="A535" s="646" t="s">
        <v>437</v>
      </c>
      <c r="B535" s="646"/>
      <c r="C535" s="646"/>
      <c r="D535" s="646"/>
      <c r="E535" s="646"/>
      <c r="F535" s="646"/>
      <c r="G535" s="646"/>
      <c r="H535" s="646"/>
    </row>
    <row r="537" spans="1:8" ht="24" customHeight="1">
      <c r="A537" s="651" t="s">
        <v>438</v>
      </c>
      <c r="B537" s="652"/>
      <c r="C537" s="652"/>
      <c r="D537" s="653"/>
    </row>
    <row r="538" spans="1:8" ht="24" customHeight="1">
      <c r="A538" s="80" t="s">
        <v>439</v>
      </c>
      <c r="B538" s="11" t="s">
        <v>440</v>
      </c>
      <c r="C538" s="11" t="s">
        <v>441</v>
      </c>
      <c r="D538" s="12" t="s">
        <v>442</v>
      </c>
    </row>
    <row r="539" spans="1:8" ht="32.1" customHeight="1">
      <c r="A539" s="102" t="s">
        <v>443</v>
      </c>
      <c r="B539" s="14" t="e">
        <f>G70</f>
        <v>#REF!</v>
      </c>
      <c r="C539" s="14" t="e">
        <f>G71</f>
        <v>#REF!</v>
      </c>
      <c r="D539" s="16" t="e">
        <f>G72</f>
        <v>#REF!</v>
      </c>
    </row>
    <row r="540" spans="1:8" ht="32.1" customHeight="1">
      <c r="A540" s="85" t="s">
        <v>444</v>
      </c>
      <c r="B540" s="24" t="e">
        <f>E255</f>
        <v>#REF!</v>
      </c>
      <c r="C540" s="24" t="e">
        <f>E256</f>
        <v>#REF!</v>
      </c>
      <c r="D540" s="209" t="e">
        <f>E257</f>
        <v>#REF!</v>
      </c>
    </row>
    <row r="541" spans="1:8" ht="32.1" customHeight="1">
      <c r="A541" s="85" t="s">
        <v>445</v>
      </c>
      <c r="B541" s="24" t="e">
        <f>E359</f>
        <v>#REF!</v>
      </c>
      <c r="C541" s="24" t="e">
        <f>E360</f>
        <v>#REF!</v>
      </c>
      <c r="D541" s="209" t="e">
        <f>E361</f>
        <v>#REF!</v>
      </c>
    </row>
    <row r="542" spans="1:8" ht="32.1" customHeight="1">
      <c r="A542" s="85" t="s">
        <v>446</v>
      </c>
      <c r="B542" s="24" t="e">
        <f>D443</f>
        <v>#REF!</v>
      </c>
      <c r="C542" s="24" t="e">
        <f>D444</f>
        <v>#REF!</v>
      </c>
      <c r="D542" s="209" t="e">
        <f>D445</f>
        <v>#REF!</v>
      </c>
    </row>
    <row r="543" spans="1:8" ht="32.1" customHeight="1">
      <c r="A543" s="85" t="s">
        <v>169</v>
      </c>
      <c r="B543" s="24">
        <f>D503</f>
        <v>0</v>
      </c>
      <c r="C543" s="24">
        <f>D504</f>
        <v>0</v>
      </c>
      <c r="D543" s="209">
        <f>D505</f>
        <v>0</v>
      </c>
    </row>
    <row r="544" spans="1:8" ht="32.1" customHeight="1">
      <c r="A544" s="85" t="s">
        <v>177</v>
      </c>
      <c r="B544" s="24" t="e">
        <f>D519</f>
        <v>#REF!</v>
      </c>
      <c r="C544" s="24" t="e">
        <f>D520</f>
        <v>#REF!</v>
      </c>
      <c r="D544" s="209" t="e">
        <f>D521</f>
        <v>#REF!</v>
      </c>
    </row>
    <row r="545" spans="1:4" ht="32.1" customHeight="1">
      <c r="A545" s="85" t="s">
        <v>447</v>
      </c>
      <c r="B545" s="24">
        <f>D531</f>
        <v>10.713203125</v>
      </c>
      <c r="C545" s="24">
        <f>D532</f>
        <v>10.713203125</v>
      </c>
      <c r="D545" s="209">
        <f>D533</f>
        <v>15.712697916666666</v>
      </c>
    </row>
    <row r="546" spans="1:4" ht="32.1" customHeight="1">
      <c r="A546" s="210" t="s">
        <v>448</v>
      </c>
      <c r="B546" s="211" t="e">
        <f>SUM(B539:B545)</f>
        <v>#REF!</v>
      </c>
      <c r="C546" s="211" t="e">
        <f>SUM(C539:C545)</f>
        <v>#REF!</v>
      </c>
      <c r="D546" s="212" t="e">
        <f>SUM(D539:D545)</f>
        <v>#REF!</v>
      </c>
    </row>
    <row r="547" spans="1:4" ht="32.1" customHeight="1">
      <c r="A547" s="48" t="s">
        <v>449</v>
      </c>
      <c r="B547" s="213" t="e">
        <f>B546*2</f>
        <v>#REF!</v>
      </c>
      <c r="C547" s="213" t="e">
        <f>C546*2</f>
        <v>#REF!</v>
      </c>
      <c r="D547" s="214" t="e">
        <f>D546*1</f>
        <v>#REF!</v>
      </c>
    </row>
    <row r="548" spans="1:4" ht="24" customHeight="1">
      <c r="A548" s="76"/>
    </row>
    <row r="549" spans="1:4" ht="24" customHeight="1">
      <c r="A549" s="76"/>
    </row>
    <row r="550" spans="1:4" ht="24" customHeight="1">
      <c r="A550" s="76"/>
    </row>
  </sheetData>
  <mergeCells count="110">
    <mergeCell ref="A1:H1"/>
    <mergeCell ref="A2:H2"/>
    <mergeCell ref="A3:H3"/>
    <mergeCell ref="A5:H5"/>
    <mergeCell ref="A6:H6"/>
    <mergeCell ref="A8:H8"/>
    <mergeCell ref="A9:H9"/>
    <mergeCell ref="A11:B11"/>
    <mergeCell ref="A15:H15"/>
    <mergeCell ref="A16:H16"/>
    <mergeCell ref="A18:D18"/>
    <mergeCell ref="A23:H23"/>
    <mergeCell ref="A24:H24"/>
    <mergeCell ref="A26:D26"/>
    <mergeCell ref="A36:H36"/>
    <mergeCell ref="A37:H37"/>
    <mergeCell ref="A39:E39"/>
    <mergeCell ref="A43:E43"/>
    <mergeCell ref="A48:D48"/>
    <mergeCell ref="A53:D53"/>
    <mergeCell ref="A54:F54"/>
    <mergeCell ref="A56:D56"/>
    <mergeCell ref="A65:H65"/>
    <mergeCell ref="A66:H66"/>
    <mergeCell ref="A68:G68"/>
    <mergeCell ref="A77:H77"/>
    <mergeCell ref="A79:H79"/>
    <mergeCell ref="A81:D81"/>
    <mergeCell ref="A90:D90"/>
    <mergeCell ref="A99:E99"/>
    <mergeCell ref="A108:E108"/>
    <mergeCell ref="A117:H117"/>
    <mergeCell ref="A118:H118"/>
    <mergeCell ref="A120:B120"/>
    <mergeCell ref="A132:D132"/>
    <mergeCell ref="A141:D141"/>
    <mergeCell ref="A150:D150"/>
    <mergeCell ref="A159:H159"/>
    <mergeCell ref="A160:H160"/>
    <mergeCell ref="A162:F162"/>
    <mergeCell ref="A164:E164"/>
    <mergeCell ref="A173:E173"/>
    <mergeCell ref="A182:D182"/>
    <mergeCell ref="A191:F191"/>
    <mergeCell ref="A193:D193"/>
    <mergeCell ref="A202:D202"/>
    <mergeCell ref="A211:D211"/>
    <mergeCell ref="A220:H220"/>
    <mergeCell ref="A222:D222"/>
    <mergeCell ref="A231:H231"/>
    <mergeCell ref="A233:D233"/>
    <mergeCell ref="A242:F242"/>
    <mergeCell ref="A251:H251"/>
    <mergeCell ref="A253:E253"/>
    <mergeCell ref="A262:H262"/>
    <mergeCell ref="A263:H263"/>
    <mergeCell ref="A265:B265"/>
    <mergeCell ref="A274:H274"/>
    <mergeCell ref="A275:H275"/>
    <mergeCell ref="A277:D277"/>
    <mergeCell ref="A286:D286"/>
    <mergeCell ref="A295:D295"/>
    <mergeCell ref="A304:H304"/>
    <mergeCell ref="A305:H305"/>
    <mergeCell ref="A307:D307"/>
    <mergeCell ref="A316:D316"/>
    <mergeCell ref="A325:D325"/>
    <mergeCell ref="A334:H334"/>
    <mergeCell ref="A335:H335"/>
    <mergeCell ref="A337:E337"/>
    <mergeCell ref="A346:D346"/>
    <mergeCell ref="A355:H355"/>
    <mergeCell ref="A427:D427"/>
    <mergeCell ref="A433:D433"/>
    <mergeCell ref="A439:H439"/>
    <mergeCell ref="A441:D441"/>
    <mergeCell ref="A450:H450"/>
    <mergeCell ref="A357:E357"/>
    <mergeCell ref="A366:H366"/>
    <mergeCell ref="A367:H367"/>
    <mergeCell ref="A369:G369"/>
    <mergeCell ref="A370:G370"/>
    <mergeCell ref="A386:D386"/>
    <mergeCell ref="B387:D387"/>
    <mergeCell ref="A403:H403"/>
    <mergeCell ref="A404:H404"/>
    <mergeCell ref="A512:B512"/>
    <mergeCell ref="A517:D517"/>
    <mergeCell ref="A526:H526"/>
    <mergeCell ref="A527:F527"/>
    <mergeCell ref="A529:D529"/>
    <mergeCell ref="A535:H535"/>
    <mergeCell ref="A537:D537"/>
    <mergeCell ref="A371:A372"/>
    <mergeCell ref="A387:A388"/>
    <mergeCell ref="B371:B372"/>
    <mergeCell ref="C371:C372"/>
    <mergeCell ref="A452:D452"/>
    <mergeCell ref="A463:C463"/>
    <mergeCell ref="A465:C465"/>
    <mergeCell ref="A474:F474"/>
    <mergeCell ref="A490:D490"/>
    <mergeCell ref="A492:D492"/>
    <mergeCell ref="A501:D501"/>
    <mergeCell ref="A510:H510"/>
    <mergeCell ref="A511:F511"/>
    <mergeCell ref="A406:D406"/>
    <mergeCell ref="A415:E415"/>
    <mergeCell ref="A424:H424"/>
    <mergeCell ref="A425:H425"/>
  </mergeCells>
  <pageMargins left="0.511811024" right="0.511811024" top="0.78740157499999996" bottom="0.78740157499999996" header="0.31496062000000002" footer="0.31496062000000002"/>
  <pageSetup paperSize="9" scale="58"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Uniformes PICOS</vt:lpstr>
      <vt:lpstr>Equipamentos-PICOS</vt:lpstr>
      <vt:lpstr>UNIFORMAES</vt:lpstr>
      <vt:lpstr>EQUIPAMENTOS</vt:lpstr>
      <vt:lpstr>12x36-24H PICOS SAL PS 2023 </vt:lpstr>
      <vt:lpstr>12x36-24H PICOS 2023 SAL PS VA</vt:lpstr>
      <vt:lpstr>RESUMO PICOS 2023</vt:lpstr>
      <vt:lpstr>Custo por trabalhador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Gerência de Contratos UFPI</cp:lastModifiedBy>
  <cp:lastPrinted>2020-06-09T11:15:00Z</cp:lastPrinted>
  <dcterms:created xsi:type="dcterms:W3CDTF">2018-01-23T19:35:00Z</dcterms:created>
  <dcterms:modified xsi:type="dcterms:W3CDTF">2024-02-27T13:11:23Z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510A5054C71A4DBC8B6734EDCC29FBB4</vt:lpwstr>
  </property>
  <property fmtid="{D5CDD505-2E9C-101B-9397-08002B2CF9AE}" pid="3" name="KSOProductBuildVer">
    <vt:lpwstr>1046-11.2.0.11537</vt:lpwstr>
  </property>
</Properties>
</file>